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360" windowHeight="8985" activeTab="4"/>
  </bookViews>
  <sheets>
    <sheet name="Summary" sheetId="1" r:id="rId1"/>
    <sheet name="Windows OS" sheetId="2" r:id="rId2"/>
    <sheet name="Migration" sheetId="3" r:id="rId3"/>
    <sheet name="Variables" sheetId="4" r:id="rId4"/>
    <sheet name="Notes" sheetId="5" r:id="rId5"/>
  </sheets>
  <definedNames>
    <definedName name="BuiltIn_Consolidate_Area___1___0">NA()</definedName>
    <definedName name="BuiltIn_Consolidate_Area___1___0___0">NA()</definedName>
    <definedName name="BuiltIn_Consolidate_Area___2___0">NA()</definedName>
    <definedName name="BuiltIn_Consolidate_Area___2___0___0">NA()</definedName>
    <definedName name="BuiltIn_Consolidate_Area___3___0">NA()</definedName>
    <definedName name="BuiltIn_Consolidate_Area___3___0___0">NA()</definedName>
    <definedName name="BuiltIn_Consolidate_Area___5___0">NA()</definedName>
    <definedName name="BuiltIn_Consolidate_Area___5___0___0">NA()</definedName>
    <definedName name="desktops">'Variables'!$C$5:$G$10</definedName>
    <definedName name="ExistingProp">'Summary'!$D$37:$E$40</definedName>
    <definedName name="options">'Summary'!$D$37:$G$41</definedName>
    <definedName name="_xlnm.Print_Area" localSheetId="2">'Migration'!$A$5:$J$30</definedName>
    <definedName name="_xlnm.Print_Area" localSheetId="4">'Notes'!$A$1:$B$32</definedName>
    <definedName name="_xlnm.Print_Area" localSheetId="0">'Summary'!$A$2:$H$28</definedName>
    <definedName name="_xlnm.Print_Area" localSheetId="1">'Windows OS'!$A$2:$K$118</definedName>
    <definedName name="servers">'Variables'!$C$13:$H$19</definedName>
  </definedNames>
  <calcPr fullCalcOnLoad="1"/>
</workbook>
</file>

<file path=xl/sharedStrings.xml><?xml version="1.0" encoding="utf-8"?>
<sst xmlns="http://schemas.openxmlformats.org/spreadsheetml/2006/main" count="374" uniqueCount="200">
  <si>
    <t>Please  read the notes to understand how this model works, the assumptions it is based on and its limitations.</t>
  </si>
  <si>
    <t>Number of Internal Desktops</t>
  </si>
  <si>
    <t>Enter the total number of desktop machines connected to the Administration's network behind firewalls.</t>
  </si>
  <si>
    <t>No of Remote /Home Desktops</t>
  </si>
  <si>
    <t xml:space="preserve">Enter the total number of desktops machines which are connected via a WAN </t>
  </si>
  <si>
    <t>Total Number of users</t>
  </si>
  <si>
    <t>Enter the total number of users bothe internal and remote</t>
  </si>
  <si>
    <t>No of sites</t>
  </si>
  <si>
    <t>Enter the number of sites with server installations.</t>
  </si>
  <si>
    <t>Year of Proprietary Upgrade</t>
  </si>
  <si>
    <t>Enter the year in which the proprietary software is assumed to be upgraded.</t>
  </si>
  <si>
    <t>YEAR</t>
  </si>
  <si>
    <t>Cost of Proprietary</t>
  </si>
  <si>
    <t>Hardware</t>
  </si>
  <si>
    <t>Software</t>
  </si>
  <si>
    <t>People</t>
  </si>
  <si>
    <t>Total</t>
  </si>
  <si>
    <t>Cost of Migration</t>
  </si>
  <si>
    <t>Payback Period</t>
  </si>
  <si>
    <t>These cells are control and intermediate values only they are not printed.</t>
  </si>
  <si>
    <t>Prop cost</t>
  </si>
  <si>
    <t>Mig cost</t>
  </si>
  <si>
    <t>Cum Prop cost</t>
  </si>
  <si>
    <t>Cum Mig cost</t>
  </si>
  <si>
    <t>Internal Desktop</t>
  </si>
  <si>
    <t>Note No.</t>
  </si>
  <si>
    <t>Costs per Desktop</t>
  </si>
  <si>
    <t>Initial</t>
  </si>
  <si>
    <t>Annual Maintenance/Licence</t>
  </si>
  <si>
    <t>Annual Internal Support</t>
  </si>
  <si>
    <t>Total Annual Expenditure</t>
  </si>
  <si>
    <t>Desktop Type</t>
  </si>
  <si>
    <t>Setup Time (hrs)</t>
  </si>
  <si>
    <t>Operating System</t>
  </si>
  <si>
    <t>Client Access Licences</t>
  </si>
  <si>
    <t>Anti – Virus/Spam</t>
  </si>
  <si>
    <t xml:space="preserve">TOTALS </t>
  </si>
  <si>
    <t>Internal Desktop Summary</t>
  </si>
  <si>
    <t>( Costs per Desktop )</t>
  </si>
  <si>
    <t>Annual</t>
  </si>
  <si>
    <t>Total Hardware</t>
  </si>
  <si>
    <t>Total Software</t>
  </si>
  <si>
    <t>Total People</t>
  </si>
  <si>
    <t>Remote Desktop – Homeworker</t>
  </si>
  <si>
    <t>Virtual Private Network</t>
  </si>
  <si>
    <t>Firewall</t>
  </si>
  <si>
    <t>Remote Desktop Summary</t>
  </si>
  <si>
    <t>Servers</t>
  </si>
  <si>
    <t>Number of Severs per Systems Administrator</t>
  </si>
  <si>
    <t>Server Type</t>
  </si>
  <si>
    <t>Concurrent users per server</t>
  </si>
  <si>
    <t>No of servers required</t>
  </si>
  <si>
    <t>Hardware Initial</t>
  </si>
  <si>
    <t>Hardware Annual</t>
  </si>
  <si>
    <t>Software Initial</t>
  </si>
  <si>
    <t>Software Annual</t>
  </si>
  <si>
    <t>Web Services</t>
  </si>
  <si>
    <t>Mail and Groupware Services</t>
  </si>
  <si>
    <t>File Servers</t>
  </si>
  <si>
    <t>Printer Services</t>
  </si>
  <si>
    <t xml:space="preserve"> </t>
  </si>
  <si>
    <t>Server Summary</t>
  </si>
  <si>
    <t>( Total Costs for all users )</t>
  </si>
  <si>
    <t>Base Data</t>
  </si>
  <si>
    <t>Annual cost of employing a systems support person</t>
  </si>
  <si>
    <t>Annual cost of employing a systems administrator</t>
  </si>
  <si>
    <t>Licence</t>
  </si>
  <si>
    <t>Annual Update Support</t>
  </si>
  <si>
    <t>Annual Internal Support (hrs)</t>
  </si>
  <si>
    <t>Server</t>
  </si>
  <si>
    <t>Per User</t>
  </si>
  <si>
    <t>Web Servers</t>
  </si>
  <si>
    <t>Mail and Groupware</t>
  </si>
  <si>
    <t>Print Servers</t>
  </si>
  <si>
    <t>Office Software Server</t>
  </si>
  <si>
    <t>Anti-Virus/Spam</t>
  </si>
  <si>
    <t>Desktop</t>
  </si>
  <si>
    <t>Per Desktop</t>
  </si>
  <si>
    <t>Office Productivity Tools</t>
  </si>
  <si>
    <t>Office</t>
  </si>
  <si>
    <t>Mail / Groupware</t>
  </si>
  <si>
    <t>Personal Database</t>
  </si>
  <si>
    <t>Browser</t>
  </si>
  <si>
    <t>Remote Firewall</t>
  </si>
  <si>
    <t>Hware</t>
  </si>
  <si>
    <t>Sware</t>
  </si>
  <si>
    <t>Desktop details</t>
  </si>
  <si>
    <t>No remote desktops replaced each year</t>
  </si>
  <si>
    <t>Server details</t>
  </si>
  <si>
    <t>Proprietary Installation</t>
  </si>
  <si>
    <t>Current Environment</t>
  </si>
  <si>
    <t>Maximum age of desktops kept at upgrade</t>
  </si>
  <si>
    <t>NOTE - This is only used if the desktop type changes</t>
  </si>
  <si>
    <t>After Upgrade</t>
  </si>
  <si>
    <t>Remote Display Servers (e.g.TSE/Citrix)</t>
  </si>
  <si>
    <t>Annual cost of managing licences</t>
  </si>
  <si>
    <t>Remote Display</t>
  </si>
  <si>
    <t>SQL</t>
  </si>
  <si>
    <t>Other</t>
  </si>
  <si>
    <t>Remote Display Server</t>
  </si>
  <si>
    <t>Windows</t>
  </si>
  <si>
    <t>Exchange</t>
  </si>
  <si>
    <t>Windows TSE</t>
  </si>
  <si>
    <t>CORE</t>
  </si>
  <si>
    <t>Citrix</t>
  </si>
  <si>
    <t>No corporate desktops replaced each year</t>
  </si>
  <si>
    <t>Number of people, templates etc</t>
  </si>
  <si>
    <t>Cost per person, template etc</t>
  </si>
  <si>
    <t>Total Cost</t>
  </si>
  <si>
    <t>Training</t>
  </si>
  <si>
    <t>User</t>
  </si>
  <si>
    <t>Sysadmins</t>
  </si>
  <si>
    <t>Programmers</t>
  </si>
  <si>
    <t>Conversion</t>
  </si>
  <si>
    <t>Templates</t>
  </si>
  <si>
    <t>Macros</t>
  </si>
  <si>
    <t>Application Rewrites</t>
  </si>
  <si>
    <t>Application Porting</t>
  </si>
  <si>
    <t>Complete Rewrites</t>
  </si>
  <si>
    <t>Migration Specific</t>
  </si>
  <si>
    <t>Migration Summary</t>
  </si>
  <si>
    <t>Variables used in the model.</t>
  </si>
  <si>
    <t>Note No</t>
  </si>
  <si>
    <t>Desktop Description</t>
  </si>
  <si>
    <t>TYPE</t>
  </si>
  <si>
    <t>INITIAL COST</t>
  </si>
  <si>
    <t>ANNUAL MAINT</t>
  </si>
  <si>
    <t>Annual Support (hrs)</t>
  </si>
  <si>
    <t>LIFE (YRS)</t>
  </si>
  <si>
    <t>Server Description</t>
  </si>
  <si>
    <t>Number of working days in a year</t>
  </si>
  <si>
    <t>Number of working hours per day</t>
  </si>
  <si>
    <t>Note</t>
  </si>
  <si>
    <t>This is a list of desktop types referred to in the model. Change the details as appropriate. If inserting a new row make sure the desktops data range which covers the whole table still does so.</t>
  </si>
  <si>
    <t>This is a list of server types referred to in the model. Change the details as appropriate. If inserting a new row make sure the servers data range which covers the whole table still does so.</t>
  </si>
  <si>
    <t>Enter the details as shown by the headings. The Server Description is not used elsewhere and so is just a convenient marker. The Type must be a unique number and is used as an index. The annual support is an estimate of the support required for the hardware not the software installed on it.</t>
  </si>
  <si>
    <t>This is used to calculate the daily cost of an Administration support person. All such people are assumed to work the same number of days. Strictly the number should not include holidays.</t>
  </si>
  <si>
    <t>This is used to calculate the hourly cost of an Administration support person. All such people are assumed to work the same number of hours.</t>
  </si>
  <si>
    <t>The Desktop type is a pointer to the list of desktops in the variables sheet. If an appropriate desktop is not defined then set up a new one.</t>
  </si>
  <si>
    <t>This is the length of time required to set up the hardware and software on a typical desktop. It is assumed that the person doing this is a systems support person.</t>
  </si>
  <si>
    <t>The details of the hardware is found from the list of desktops in the variables sheet by using the desktop type entered.</t>
  </si>
  <si>
    <t>The details are found from the Base Data at the bottom of the sheet.</t>
  </si>
  <si>
    <t>This is intended to show the cost of supporting thin client/remote display applications already deployed in the proprietary installation. Remote display applications created as part of the migration are shown on the migration sheet. The details are found from the Base Data at the bottom of the sheet.</t>
  </si>
  <si>
    <t>This assumes that the remote desktop uses a VPN. If not then set the Base Data at the bottom of the sheet to contain whatever additional software is required over an internal desktop to allow connection to be made.</t>
  </si>
  <si>
    <t>This assumes that because the desktop is isolated then some sort of firewall protection is required on it . The details are found from the Base Data at the bottom of the sheet.</t>
  </si>
  <si>
    <t>Insert details of the relevant software here. If a particular group is not used then insert zeros. The costs are assumed to be per desktop and not per potential user.</t>
  </si>
  <si>
    <t>Enter the details under the appropriate heading. If the feature is not used or available enter zero. The licence is able to have both an initial and an annual component. If both are entered then both are assumed payable in the first year. The annual update is provided in case this is a separately chargeable item. The annual support is the time taken by internal support people to manage the software once installed, including help desks.</t>
  </si>
  <si>
    <t>This line is the total of the office items below. IT IS NOT AN INPUT FIELD.</t>
  </si>
  <si>
    <t>Enter the details of any user based client access licences that will be needed for applications which were already thin client/remote display in the proprietary installation. If there are none enter zeros.</t>
  </si>
  <si>
    <t>Enter the details of any server based client access licences that will be needed for applications which were already thin client/remote display in the proprietary installation. If there are none enter zeros.</t>
  </si>
  <si>
    <t>There are a number of simplifying assumptions. For instance no attempt is made to model the accounting policies relating to depreciation or the effects of taxation. The model is intended to give managers a feel for where the major costs and cost differences lie.</t>
  </si>
  <si>
    <t>The age distribution of the desktops is assumed to be uniform and so the same proportion is replaced each year. However when the installation upgrades it could be assumed that all desktops are immediately replaced. The is probably unreasonable and this parameter allows the newer ones to be retained with only the older ones replaced. Also this parameter is only used if the desktop type changes at upgrade.</t>
  </si>
  <si>
    <t>This is the cost of a typical systems support person. Such a person would be a help desk operator, a hardware support engineer etc. This should be the cost to the Administration of employing him/her and so should include costs other than just salary. For instance pension contricutions and additional employer taxes.</t>
  </si>
  <si>
    <t>This is the cost of a typical systems administration person. Such a person would be someone responsible for maintaining one or more server types. They are likely to be more qualified than the systems support person. This should be the cost to the Administration of employing him/her and so should include costs other than just salary. For instance pension contricutions and additional employer taxes.</t>
  </si>
  <si>
    <t>This is the annual cost of managing licences. This could on fact be zero but most organisations ought to attend to their compliance with licence conditions and this will incur a cost. This number is just included as a flat annual charge in the comparison.</t>
  </si>
  <si>
    <t>The number of systems administrators is calculated by dividing the total number of servers by this parameter.</t>
  </si>
  <si>
    <t>One server per site</t>
  </si>
  <si>
    <t>This service is to allow for the continuation of a Unix style centralised office server displaying on the desktop in a thin client environment.</t>
  </si>
  <si>
    <t>This service is to allow for the continuation of remote display thin client applications which were available before the migration.</t>
  </si>
  <si>
    <t>Enter the cost of software for each service under the relevant heading. All costs are per user and each user in the total number of users in the summary is assumed to make use of the service. The cost should include the operating system as well as the specific service software. Where physical servers provide multiple services then the cost of the operating system will need to be included in only one of the services sharing the machine to stop double counting. If a particular service is not used then insert zeros.</t>
  </si>
  <si>
    <t>Average life of a server</t>
  </si>
  <si>
    <t>The cost of servers is spread over the number of years specified here. Hence in any year a charge is made of the annual amount plus the initial amount divided by this parameter.</t>
  </si>
  <si>
    <t>Null Server for use where where cost is included in total package eg firewall or for shared services.</t>
  </si>
  <si>
    <t>This section allows estimates of the training costs to be entered. Only the training required to bring people up to their current level of capability in the proprietary installation should be included. Training for new employees for instance should not be included if that level of training would have been given in the proprietary installation as well.</t>
  </si>
  <si>
    <t>System Support</t>
  </si>
  <si>
    <t>Systems staff will need comprehensive training if the proprietary installation is not UNIX like.</t>
  </si>
  <si>
    <t>If the Administration has its own programming staff then they will need to be trained in the new environment if the current one is not UNIX like.</t>
  </si>
  <si>
    <t>The cost of converting templates and macros will depend on their complexity. Only after a thorough inspection will Administrations be able to put reasonably accurate estimates for their own site here. A pilot study would provide a good start.</t>
  </si>
  <si>
    <t>This is for applications that have to be converted to a remote display architecture in order to migrate them. It is not the cost of applications which were already in this format unless they need changing because they do not work for some reason under the new environment.</t>
  </si>
  <si>
    <t>The costs of legacy applications being ported or rewritten are significantly different. Care has to be taken to make sure that only those costs incurred because of a migration are included. A complete rewrite may well significantly improve the functionality of an application and the cost should only be allowed if not inluding these iprovements would not significantly alter the cost. Porting is likely to be a few changes to detail whereas a rewrite may be in a completely different programming language.</t>
  </si>
  <si>
    <t>Migration Costs</t>
  </si>
  <si>
    <t>Initial Costs</t>
  </si>
  <si>
    <t>Annual Costs</t>
  </si>
  <si>
    <t>Miscellaneous</t>
  </si>
  <si>
    <t>This is for servers required to run remote display applications which have been written as part of the migration. The costs here may get mixed up with existing remote display servers and it may be difficult to obtain accurate input.</t>
  </si>
  <si>
    <t>Same as Type 1 but includes cost of connection equipment - modems etc</t>
  </si>
  <si>
    <t>Same as Type 3 but includes cost of connection equipment - modems etc</t>
  </si>
  <si>
    <t>Same as Type 4 but includes cost of connection equipment - modems etc</t>
  </si>
  <si>
    <t>Type 3 - Internal Proprietary desktop before upgrade</t>
  </si>
  <si>
    <t>Type 4 - Internal Proprietary desktop after upgrade</t>
  </si>
  <si>
    <t>Enter the details as shown by the headings. The Desktop Description is not used elsewhere and so is just a convenient marker. The Type must be a unique number and is used as an index. The initial cost should not include the operatingsystem. The annual support is an estimate of the support required for the hardware not the software installed on it. The number of desktops replaced every year is calculated as TOTAL/LIFE(YRS).</t>
  </si>
  <si>
    <t>1.5 GHz Quad processors 2 Gb RAM, Dual power supplies, dual network controllers, rack mounted</t>
  </si>
  <si>
    <t>2.4 GHz Dual processors 1 Gb RAM, Dual power supplies, dual network controllers, rack mounted</t>
  </si>
  <si>
    <t>650 MHz Quad processors, 4 Gb RAM, Dual power supplies, dual network controllers, rack mounted</t>
  </si>
  <si>
    <t>Enter the server type, the number of concurrent users for the particular service and the per site indicator. The server types are in the variables sheet. There is a null server type with zero hardware costs to allow for the situation where physical boxes may provide multiple services. In this case set one of the services to the real server type and the others to the null type. The number of servers required is calculated as one per site ( if the one per site indicator is set to 1 ) together with what is needed to server the remaining number of users. The cost of each service is based on the details in the Base Data at the bottom of the sheet. The number of users is that input to the Summary sheet. The number of mail users could be considerably different if virtual users are allowed. The comparison doesn't support this difference at the moment.</t>
  </si>
  <si>
    <t>Other Services</t>
  </si>
  <si>
    <t>These services are assumed to be Domain Controllers and other network services etc.</t>
  </si>
  <si>
    <t>Conversion costs should be for a like for like conversion. However Administrations may take the opportunity to upgrade their code and this cost should be removed if pWindowsible.</t>
  </si>
  <si>
    <t>Application rewrite costs should be on a like for like basis. However Administrations may take the opportunity to upgrade their code and this cost should be removed if pWindowsible.</t>
  </si>
  <si>
    <t>User training may be needed to familiarise the users with a different user interface and pWindowsibly also a different system architecture and security model.</t>
  </si>
  <si>
    <t>This is to cover estimates of the excess costs of running an Windows environment not covered elsewhere. They could be for example higher initial user training because Windows not widely used. Any amount in here is likely to be very subjective until sufficient long term experience is available. The parameter is included for completeness.</t>
  </si>
  <si>
    <t>The model is to help produce a cost comparison between Windows and proprietary installations. The Windows architecture assumes a network centric model where user authentication is done by a server, user files are held on a central file server and emails on an email server. The proprietary model tries to provide options to cover all scenarios. This means that many of the fields may need to be set to zero for any one particular case.</t>
  </si>
  <si>
    <t>Type 1 - Windows internal desktop</t>
  </si>
  <si>
    <t>The green boxes are input fields. There are input fields on the Windows, proprietary and variables sheets as well.</t>
  </si>
  <si>
    <t>Cost of FWindows</t>
  </si>
  <si>
    <t>Windows cost</t>
  </si>
  <si>
    <t>Cum Windows cost</t>
  </si>
  <si>
    <t>This Spreadsheet allows organisations to compare the cost of proprietary and Windows installations. It is not intended to be a Total Cost of Ownership model. Only those costs which are likely to be significantly different between the two installations are included. The comparison is made over a five year period with one assumed upgrade of the proprietary installation.</t>
  </si>
  <si>
    <t>Summary</t>
  </si>
  <si>
    <t>TSE / Citrix</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</si>
</sst>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0\ "/>
    <numFmt numFmtId="187" formatCode="#,###.00"/>
  </numFmts>
  <fonts count="57">
    <font>
      <sz val="9"/>
      <name val="Helvetica"/>
      <family val="0"/>
    </font>
    <font>
      <sz val="10"/>
      <name val="Arial"/>
      <family val="2"/>
    </font>
    <font>
      <u val="single"/>
      <sz val="9"/>
      <color indexed="12"/>
      <name val="Helvetica"/>
      <family val="0"/>
    </font>
    <font>
      <u val="single"/>
      <sz val="9"/>
      <color indexed="36"/>
      <name val="Helvetica"/>
      <family val="0"/>
    </font>
    <font>
      <sz val="9"/>
      <color indexed="8"/>
      <name val="Times New Roman"/>
      <family val="1"/>
    </font>
    <font>
      <sz val="9"/>
      <name val="Times New Roman"/>
      <family val="1"/>
    </font>
    <font>
      <sz val="10"/>
      <color indexed="8"/>
      <name val="Times New Roman"/>
      <family val="1"/>
    </font>
    <font>
      <sz val="11"/>
      <color indexed="8"/>
      <name val="Times New Roman"/>
      <family val="1"/>
    </font>
    <font>
      <sz val="16"/>
      <color indexed="8"/>
      <name val="Times New Roman"/>
      <family val="1"/>
    </font>
    <font>
      <sz val="14"/>
      <color indexed="8"/>
      <name val="Times New Roman"/>
      <family val="1"/>
    </font>
    <font>
      <sz val="11"/>
      <name val="Times New Roman"/>
      <family val="1"/>
    </font>
    <font>
      <b/>
      <sz val="11"/>
      <color indexed="8"/>
      <name val="Times New Roman"/>
      <family val="1"/>
    </font>
    <font>
      <b/>
      <sz val="9"/>
      <color indexed="8"/>
      <name val="Times New Roman"/>
      <family val="1"/>
    </font>
    <font>
      <b/>
      <sz val="10"/>
      <color indexed="8"/>
      <name val="Times New Roman"/>
      <family val="1"/>
    </font>
    <font>
      <b/>
      <sz val="12"/>
      <color indexed="8"/>
      <name val="Times New Roman"/>
      <family val="1"/>
    </font>
    <font>
      <sz val="10"/>
      <name val="Times New Roman"/>
      <family val="1"/>
    </font>
    <font>
      <b/>
      <sz val="10"/>
      <name val="Times New Roman"/>
      <family val="1"/>
    </font>
    <font>
      <b/>
      <sz val="14"/>
      <color indexed="8"/>
      <name val="Times New Roman"/>
      <family val="1"/>
    </font>
    <font>
      <b/>
      <sz val="9"/>
      <name val="Times New Roman"/>
      <family val="1"/>
    </font>
    <font>
      <sz val="14"/>
      <name val="Times New Roman"/>
      <family val="1"/>
    </font>
    <font>
      <sz val="9"/>
      <color indexed="55"/>
      <name val="Times New Roman"/>
      <family val="1"/>
    </font>
    <font>
      <sz val="12"/>
      <color indexed="8"/>
      <name val="Times New Roman"/>
      <family val="1"/>
    </font>
    <font>
      <sz val="12"/>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thin">
        <color indexed="18"/>
      </top>
      <bottom style="thin">
        <color indexed="18"/>
      </bottom>
    </border>
    <border>
      <left style="medium">
        <color indexed="18"/>
      </left>
      <right style="medium">
        <color indexed="18"/>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thin">
        <color indexed="18"/>
      </top>
      <bottom>
        <color indexed="63"/>
      </bottom>
    </border>
    <border>
      <left style="medium">
        <color indexed="18"/>
      </left>
      <right style="medium">
        <color indexed="18"/>
      </right>
      <top>
        <color indexed="63"/>
      </top>
      <bottom style="medium">
        <color indexed="18"/>
      </bottom>
    </border>
    <border>
      <left style="medium">
        <color indexed="8"/>
      </left>
      <right style="medium">
        <color indexed="8"/>
      </right>
      <top style="medium">
        <color indexed="8"/>
      </top>
      <bottom style="medium">
        <color indexed="8"/>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color indexed="63"/>
      </right>
      <top style="thin"/>
      <bottom>
        <color indexed="63"/>
      </bottom>
    </border>
    <border>
      <left>
        <color indexed="63"/>
      </left>
      <right>
        <color indexed="63"/>
      </right>
      <top style="thin"/>
      <bottom>
        <color indexed="63"/>
      </bottom>
    </border>
    <border>
      <left style="medium">
        <color indexed="18"/>
      </left>
      <right style="medium">
        <color indexed="18"/>
      </right>
      <top style="medium">
        <color indexed="18"/>
      </top>
      <bottom>
        <color indexed="63"/>
      </bottom>
    </border>
    <border>
      <left style="medium">
        <color indexed="18"/>
      </left>
      <right style="thin">
        <color indexed="18"/>
      </right>
      <top style="medium">
        <color indexed="18"/>
      </top>
      <bottom style="medium">
        <color indexed="18"/>
      </bottom>
    </border>
    <border>
      <left style="thin">
        <color indexed="18"/>
      </left>
      <right style="medium">
        <color indexed="18"/>
      </right>
      <top style="medium">
        <color indexed="18"/>
      </top>
      <bottom style="medium">
        <color indexed="18"/>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color indexed="63"/>
      </top>
      <bottom style="medium">
        <color indexed="18"/>
      </bottom>
    </border>
    <border>
      <left style="medium">
        <color indexed="18"/>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5">
    <xf numFmtId="0" fontId="0" fillId="0" borderId="0" xfId="0" applyAlignment="1">
      <alignment/>
    </xf>
    <xf numFmtId="2" fontId="4"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0" fontId="4" fillId="0" borderId="0" xfId="0" applyNumberFormat="1" applyFont="1" applyBorder="1" applyAlignment="1" applyProtection="1">
      <alignment/>
      <protection locked="0"/>
    </xf>
    <xf numFmtId="2" fontId="4" fillId="0" borderId="0" xfId="0" applyNumberFormat="1" applyFont="1" applyBorder="1" applyAlignment="1" applyProtection="1">
      <alignment horizontal="left"/>
      <protection/>
    </xf>
    <xf numFmtId="2" fontId="4" fillId="33" borderId="10" xfId="0" applyNumberFormat="1" applyFont="1" applyFill="1" applyBorder="1" applyAlignment="1" applyProtection="1">
      <alignment horizontal="center" vertical="center"/>
      <protection/>
    </xf>
    <xf numFmtId="186" fontId="4" fillId="34" borderId="10" xfId="0" applyNumberFormat="1"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wrapText="1"/>
      <protection/>
    </xf>
    <xf numFmtId="3" fontId="4" fillId="0" borderId="12" xfId="0" applyNumberFormat="1" applyFont="1" applyBorder="1" applyAlignment="1" applyProtection="1">
      <alignment horizontal="center" vertical="center"/>
      <protection/>
    </xf>
    <xf numFmtId="3" fontId="5" fillId="0" borderId="12"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left"/>
      <protection/>
    </xf>
    <xf numFmtId="0" fontId="4" fillId="0" borderId="0" xfId="0" applyNumberFormat="1" applyFont="1" applyBorder="1" applyAlignment="1" applyProtection="1">
      <alignment horizontal="left"/>
      <protection locked="0"/>
    </xf>
    <xf numFmtId="2" fontId="4" fillId="0" borderId="0" xfId="0" applyNumberFormat="1" applyFont="1" applyBorder="1" applyAlignment="1" applyProtection="1">
      <alignment/>
      <protection locked="0"/>
    </xf>
    <xf numFmtId="3" fontId="4" fillId="0" borderId="11" xfId="0" applyNumberFormat="1" applyFont="1" applyBorder="1" applyAlignment="1" applyProtection="1">
      <alignment horizontal="center" vertical="center"/>
      <protection/>
    </xf>
    <xf numFmtId="3" fontId="4" fillId="0" borderId="13" xfId="0" applyNumberFormat="1" applyFont="1" applyBorder="1" applyAlignment="1" applyProtection="1">
      <alignment horizontal="center" vertical="center"/>
      <protection/>
    </xf>
    <xf numFmtId="187" fontId="4"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protection/>
    </xf>
    <xf numFmtId="3" fontId="5" fillId="0" borderId="10" xfId="0" applyNumberFormat="1" applyFont="1" applyBorder="1" applyAlignment="1" applyProtection="1">
      <alignment horizontal="center" vertical="center"/>
      <protection/>
    </xf>
    <xf numFmtId="4" fontId="4" fillId="36" borderId="0" xfId="0" applyNumberFormat="1" applyFont="1" applyFill="1" applyBorder="1" applyAlignment="1" applyProtection="1">
      <alignment horizontal="center" vertical="center"/>
      <protection/>
    </xf>
    <xf numFmtId="0" fontId="4" fillId="36" borderId="0" xfId="0" applyNumberFormat="1" applyFont="1" applyFill="1" applyBorder="1" applyAlignment="1" applyProtection="1">
      <alignment/>
      <protection/>
    </xf>
    <xf numFmtId="186" fontId="4" fillId="34" borderId="11" xfId="0" applyNumberFormat="1" applyFont="1" applyFill="1" applyBorder="1" applyAlignment="1" applyProtection="1">
      <alignment horizontal="center" vertical="center"/>
      <protection locked="0"/>
    </xf>
    <xf numFmtId="3" fontId="5" fillId="0" borderId="11" xfId="0" applyNumberFormat="1" applyFont="1" applyBorder="1" applyAlignment="1" applyProtection="1">
      <alignment horizontal="center" vertical="center"/>
      <protection/>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7" borderId="0" xfId="0"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locked="0"/>
    </xf>
    <xf numFmtId="0" fontId="4" fillId="38" borderId="10" xfId="0" applyNumberFormat="1" applyFont="1" applyFill="1" applyBorder="1" applyAlignment="1" applyProtection="1">
      <alignment horizontal="center" vertical="center"/>
      <protection locked="0"/>
    </xf>
    <xf numFmtId="3" fontId="4" fillId="0" borderId="10" xfId="0" applyNumberFormat="1" applyFont="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locked="0"/>
    </xf>
    <xf numFmtId="0" fontId="4" fillId="38" borderId="12" xfId="0" applyNumberFormat="1" applyFont="1" applyFill="1" applyBorder="1" applyAlignment="1" applyProtection="1">
      <alignment horizontal="center" vertical="center"/>
      <protection locked="0"/>
    </xf>
    <xf numFmtId="3" fontId="4" fillId="34" borderId="11" xfId="0" applyNumberFormat="1" applyFont="1" applyFill="1" applyBorder="1" applyAlignment="1" applyProtection="1">
      <alignment horizontal="center" vertical="center"/>
      <protection locked="0"/>
    </xf>
    <xf numFmtId="0" fontId="4" fillId="38" borderId="11" xfId="0" applyNumberFormat="1" applyFont="1" applyFill="1" applyBorder="1" applyAlignment="1" applyProtection="1">
      <alignment horizontal="center" vertical="center"/>
      <protection locked="0"/>
    </xf>
    <xf numFmtId="2" fontId="4" fillId="0" borderId="0" xfId="0" applyNumberFormat="1" applyFont="1" applyBorder="1" applyAlignment="1" applyProtection="1">
      <alignment vertical="center"/>
      <protection/>
    </xf>
    <xf numFmtId="2" fontId="4" fillId="0" borderId="0" xfId="0" applyNumberFormat="1" applyFont="1" applyBorder="1" applyAlignment="1" applyProtection="1">
      <alignment wrapText="1"/>
      <protection/>
    </xf>
    <xf numFmtId="2" fontId="4" fillId="35" borderId="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2" fontId="4" fillId="34" borderId="12" xfId="0" applyNumberFormat="1" applyFont="1" applyFill="1" applyBorder="1" applyAlignment="1" applyProtection="1">
      <alignment horizontal="center" vertical="center"/>
      <protection locked="0"/>
    </xf>
    <xf numFmtId="2" fontId="4" fillId="37" borderId="0" xfId="0" applyNumberFormat="1" applyFont="1" applyFill="1" applyBorder="1" applyAlignment="1" applyProtection="1">
      <alignment horizontal="center" vertical="center"/>
      <protection/>
    </xf>
    <xf numFmtId="2" fontId="4" fillId="35" borderId="12" xfId="0" applyNumberFormat="1" applyFont="1" applyFill="1" applyBorder="1" applyAlignment="1" applyProtection="1">
      <alignment horizontal="center" vertical="center"/>
      <protection/>
    </xf>
    <xf numFmtId="0" fontId="5" fillId="0" borderId="0" xfId="0" applyFont="1" applyAlignment="1" applyProtection="1">
      <alignment/>
      <protection/>
    </xf>
    <xf numFmtId="0" fontId="11" fillId="0" borderId="0" xfId="0" applyNumberFormat="1" applyFont="1" applyBorder="1" applyAlignment="1" applyProtection="1">
      <alignment horizontal="justify" vertical="top"/>
      <protection/>
    </xf>
    <xf numFmtId="2" fontId="12" fillId="0" borderId="0" xfId="0" applyNumberFormat="1" applyFont="1" applyBorder="1" applyAlignment="1" applyProtection="1">
      <alignment horizontal="justify" vertical="top"/>
      <protection/>
    </xf>
    <xf numFmtId="0" fontId="5" fillId="0" borderId="0" xfId="0" applyFont="1" applyAlignment="1" applyProtection="1">
      <alignment horizontal="justify" vertical="top"/>
      <protection/>
    </xf>
    <xf numFmtId="0" fontId="4" fillId="0" borderId="0" xfId="0" applyNumberFormat="1" applyFont="1" applyBorder="1" applyAlignment="1" applyProtection="1">
      <alignment horizontal="justify" vertical="top"/>
      <protection/>
    </xf>
    <xf numFmtId="0" fontId="4" fillId="0" borderId="0" xfId="0" applyNumberFormat="1" applyFont="1" applyBorder="1" applyAlignment="1" applyProtection="1">
      <alignment horizontal="justify" vertical="top"/>
      <protection locked="0"/>
    </xf>
    <xf numFmtId="0" fontId="7" fillId="0" borderId="0" xfId="0" applyNumberFormat="1" applyFont="1" applyBorder="1" applyAlignment="1" applyProtection="1">
      <alignment/>
      <protection locked="0"/>
    </xf>
    <xf numFmtId="2" fontId="13" fillId="0" borderId="0" xfId="0" applyNumberFormat="1" applyFont="1" applyBorder="1" applyAlignment="1" applyProtection="1">
      <alignment horizontal="left" vertical="center"/>
      <protection/>
    </xf>
    <xf numFmtId="3" fontId="13" fillId="34" borderId="13" xfId="0" applyNumberFormat="1" applyFont="1" applyFill="1" applyBorder="1" applyAlignment="1" applyProtection="1">
      <alignment horizontal="center" vertical="center"/>
      <protection locked="0"/>
    </xf>
    <xf numFmtId="0" fontId="15" fillId="0" borderId="0" xfId="0" applyFont="1" applyAlignment="1" applyProtection="1">
      <alignment/>
      <protection/>
    </xf>
    <xf numFmtId="0" fontId="16" fillId="34" borderId="13" xfId="0" applyFont="1" applyFill="1" applyBorder="1" applyAlignment="1">
      <alignment horizontal="center" vertical="center"/>
    </xf>
    <xf numFmtId="0" fontId="15" fillId="35" borderId="0" xfId="0" applyFont="1" applyFill="1" applyAlignment="1" applyProtection="1">
      <alignment horizontal="left" vertical="top" wrapText="1"/>
      <protection/>
    </xf>
    <xf numFmtId="0" fontId="13" fillId="0" borderId="0" xfId="0" applyNumberFormat="1" applyFont="1" applyBorder="1" applyAlignment="1" applyProtection="1">
      <alignment horizontal="center" vertical="center"/>
      <protection/>
    </xf>
    <xf numFmtId="0" fontId="13" fillId="39" borderId="13" xfId="0" applyNumberFormat="1" applyFont="1" applyFill="1" applyBorder="1" applyAlignment="1" applyProtection="1">
      <alignment horizontal="center" vertical="center"/>
      <protection/>
    </xf>
    <xf numFmtId="3" fontId="6" fillId="0" borderId="10" xfId="0" applyNumberFormat="1" applyFont="1" applyBorder="1" applyAlignment="1" applyProtection="1">
      <alignment horizontal="center" vertical="center"/>
      <protection/>
    </xf>
    <xf numFmtId="3" fontId="6" fillId="0" borderId="13" xfId="0" applyNumberFormat="1" applyFont="1" applyBorder="1" applyAlignment="1" applyProtection="1">
      <alignment horizontal="center" vertical="center"/>
      <protection/>
    </xf>
    <xf numFmtId="0" fontId="13" fillId="0" borderId="0" xfId="0" applyNumberFormat="1" applyFont="1" applyBorder="1" applyAlignment="1" applyProtection="1">
      <alignment/>
      <protection/>
    </xf>
    <xf numFmtId="0" fontId="17" fillId="0" borderId="0" xfId="0" applyNumberFormat="1" applyFont="1" applyBorder="1" applyAlignment="1" applyProtection="1">
      <alignment/>
      <protection/>
    </xf>
    <xf numFmtId="0" fontId="5" fillId="40" borderId="10" xfId="0" applyFont="1" applyFill="1" applyBorder="1" applyAlignment="1" applyProtection="1">
      <alignment horizontal="center" vertical="center"/>
      <protection/>
    </xf>
    <xf numFmtId="0" fontId="12" fillId="33" borderId="12"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4"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4" fontId="4" fillId="34" borderId="12" xfId="0" applyNumberFormat="1" applyFont="1" applyFill="1" applyBorder="1" applyAlignment="1" applyProtection="1">
      <alignment horizontal="center" vertical="center"/>
      <protection/>
    </xf>
    <xf numFmtId="0" fontId="12" fillId="33" borderId="12" xfId="0" applyNumberFormat="1" applyFont="1" applyFill="1" applyBorder="1" applyAlignment="1" applyProtection="1">
      <alignment horizontal="center" vertical="center" wrapText="1"/>
      <protection/>
    </xf>
    <xf numFmtId="3" fontId="4" fillId="34" borderId="15" xfId="0" applyNumberFormat="1" applyFont="1" applyFill="1" applyBorder="1" applyAlignment="1" applyProtection="1">
      <alignment horizontal="center" vertical="center"/>
      <protection/>
    </xf>
    <xf numFmtId="4" fontId="4" fillId="34" borderId="15"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4" fontId="4" fillId="34" borderId="11" xfId="0" applyNumberFormat="1" applyFont="1" applyFill="1" applyBorder="1" applyAlignment="1" applyProtection="1">
      <alignment horizontal="center" vertical="center"/>
      <protection/>
    </xf>
    <xf numFmtId="0" fontId="18" fillId="39" borderId="13" xfId="0" applyFont="1" applyFill="1" applyBorder="1" applyAlignment="1" applyProtection="1">
      <alignment horizontal="center" vertical="center"/>
      <protection/>
    </xf>
    <xf numFmtId="4" fontId="5" fillId="0" borderId="0" xfId="0" applyNumberFormat="1" applyFont="1" applyAlignment="1" applyProtection="1">
      <alignment horizontal="center" vertical="center"/>
      <protection/>
    </xf>
    <xf numFmtId="4" fontId="5" fillId="0" borderId="0" xfId="0" applyNumberFormat="1" applyFont="1" applyAlignment="1">
      <alignment horizontal="center" vertical="center"/>
    </xf>
    <xf numFmtId="0" fontId="12" fillId="33" borderId="11" xfId="0" applyNumberFormat="1" applyFont="1" applyFill="1" applyBorder="1" applyAlignment="1" applyProtection="1">
      <alignment horizontal="center" vertical="center" wrapText="1"/>
      <protection/>
    </xf>
    <xf numFmtId="0" fontId="5" fillId="41" borderId="0" xfId="0" applyFont="1" applyFill="1" applyBorder="1" applyAlignment="1" applyProtection="1">
      <alignment horizontal="center" vertical="center"/>
      <protection/>
    </xf>
    <xf numFmtId="0" fontId="12" fillId="42" borderId="0" xfId="0" applyNumberFormat="1" applyFont="1" applyFill="1" applyBorder="1" applyAlignment="1" applyProtection="1">
      <alignment horizontal="center" vertical="center" wrapText="1"/>
      <protection/>
    </xf>
    <xf numFmtId="3" fontId="4" fillId="37" borderId="0" xfId="0" applyNumberFormat="1" applyFont="1" applyFill="1" applyBorder="1" applyAlignment="1" applyProtection="1">
      <alignment horizontal="center" vertical="center"/>
      <protection/>
    </xf>
    <xf numFmtId="4" fontId="4" fillId="37" borderId="0" xfId="0" applyNumberFormat="1" applyFont="1" applyFill="1" applyBorder="1" applyAlignment="1" applyProtection="1">
      <alignment horizontal="center" vertical="center"/>
      <protection/>
    </xf>
    <xf numFmtId="3" fontId="4" fillId="36" borderId="0"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locked="0"/>
    </xf>
    <xf numFmtId="3" fontId="4" fillId="37" borderId="0" xfId="0" applyNumberFormat="1" applyFont="1" applyFill="1" applyBorder="1" applyAlignment="1" applyProtection="1">
      <alignment horizontal="center" vertical="center"/>
      <protection locked="0"/>
    </xf>
    <xf numFmtId="3" fontId="20" fillId="36" borderId="0" xfId="0" applyNumberFormat="1" applyFont="1" applyFill="1" applyBorder="1" applyAlignment="1" applyProtection="1">
      <alignment horizontal="center" vertical="center"/>
      <protection/>
    </xf>
    <xf numFmtId="0" fontId="4" fillId="38" borderId="13" xfId="0" applyNumberFormat="1" applyFont="1" applyFill="1" applyBorder="1" applyAlignment="1" applyProtection="1">
      <alignment horizontal="center" vertical="center"/>
      <protection locked="0"/>
    </xf>
    <xf numFmtId="3" fontId="4" fillId="0" borderId="10" xfId="0" applyNumberFormat="1" applyFont="1" applyBorder="1" applyAlignment="1" applyProtection="1">
      <alignment horizontal="center" vertical="center"/>
      <protection locked="0"/>
    </xf>
    <xf numFmtId="1" fontId="12" fillId="35" borderId="0" xfId="0" applyNumberFormat="1" applyFont="1" applyFill="1" applyBorder="1" applyAlignment="1" applyProtection="1">
      <alignment vertical="center"/>
      <protection/>
    </xf>
    <xf numFmtId="2" fontId="12" fillId="39" borderId="13" xfId="0" applyNumberFormat="1" applyFont="1" applyFill="1" applyBorder="1" applyAlignment="1" applyProtection="1">
      <alignment horizontal="center" vertical="center" wrapText="1"/>
      <protection/>
    </xf>
    <xf numFmtId="3" fontId="4" fillId="0" borderId="13" xfId="0" applyNumberFormat="1" applyFont="1" applyBorder="1" applyAlignment="1" applyProtection="1">
      <alignment horizontal="center" vertical="center"/>
      <protection locked="0"/>
    </xf>
    <xf numFmtId="0" fontId="18" fillId="39"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horizontal="center" vertical="center"/>
      <protection/>
    </xf>
    <xf numFmtId="0" fontId="5" fillId="0" borderId="0" xfId="0" applyFont="1" applyAlignment="1">
      <alignment/>
    </xf>
    <xf numFmtId="0" fontId="12" fillId="39" borderId="13" xfId="0" applyNumberFormat="1" applyFont="1" applyFill="1" applyBorder="1" applyAlignment="1" applyProtection="1">
      <alignment horizontal="center" vertical="center" wrapText="1"/>
      <protection/>
    </xf>
    <xf numFmtId="0" fontId="5" fillId="43" borderId="11" xfId="0" applyFont="1" applyFill="1" applyBorder="1" applyAlignment="1" applyProtection="1">
      <alignment horizontal="center" vertical="center"/>
      <protection/>
    </xf>
    <xf numFmtId="2" fontId="12" fillId="33" borderId="10" xfId="0" applyNumberFormat="1" applyFont="1" applyFill="1" applyBorder="1" applyAlignment="1" applyProtection="1">
      <alignment horizontal="center" vertical="center"/>
      <protection/>
    </xf>
    <xf numFmtId="2" fontId="12" fillId="35" borderId="0" xfId="0" applyNumberFormat="1" applyFont="1" applyFill="1" applyBorder="1" applyAlignment="1" applyProtection="1">
      <alignment vertical="top" wrapText="1"/>
      <protection/>
    </xf>
    <xf numFmtId="2" fontId="12" fillId="33" borderId="11" xfId="0" applyNumberFormat="1" applyFont="1" applyFill="1" applyBorder="1" applyAlignment="1" applyProtection="1">
      <alignment horizontal="center" vertical="center"/>
      <protection/>
    </xf>
    <xf numFmtId="2" fontId="12" fillId="44" borderId="10" xfId="0" applyNumberFormat="1" applyFont="1" applyFill="1" applyBorder="1" applyAlignment="1" applyProtection="1">
      <alignment horizontal="center" vertical="center" wrapText="1"/>
      <protection/>
    </xf>
    <xf numFmtId="0" fontId="5" fillId="43" borderId="10" xfId="0" applyFont="1" applyFill="1" applyBorder="1" applyAlignment="1" applyProtection="1">
      <alignment horizontal="center" vertical="center"/>
      <protection/>
    </xf>
    <xf numFmtId="2" fontId="12" fillId="0" borderId="0" xfId="0" applyNumberFormat="1" applyFont="1" applyBorder="1" applyAlignment="1" applyProtection="1">
      <alignment vertical="center" wrapText="1"/>
      <protection/>
    </xf>
    <xf numFmtId="0" fontId="5" fillId="43" borderId="12" xfId="0" applyFont="1" applyFill="1" applyBorder="1" applyAlignment="1" applyProtection="1">
      <alignment horizontal="center" vertical="center"/>
      <protection/>
    </xf>
    <xf numFmtId="0" fontId="5" fillId="0" borderId="0" xfId="0" applyFont="1" applyBorder="1" applyAlignment="1" applyProtection="1">
      <alignment/>
      <protection/>
    </xf>
    <xf numFmtId="2" fontId="12" fillId="0" borderId="0" xfId="0" applyNumberFormat="1" applyFont="1" applyBorder="1" applyAlignment="1" applyProtection="1">
      <alignment horizontal="right" vertical="center"/>
      <protection/>
    </xf>
    <xf numFmtId="2" fontId="12" fillId="45" borderId="0" xfId="0" applyNumberFormat="1" applyFont="1" applyFill="1" applyBorder="1" applyAlignment="1" applyProtection="1">
      <alignment horizontal="center" vertical="center"/>
      <protection/>
    </xf>
    <xf numFmtId="2" fontId="12" fillId="36" borderId="0" xfId="0" applyNumberFormat="1" applyFont="1" applyFill="1" applyBorder="1" applyAlignment="1" applyProtection="1">
      <alignment horizontal="right" vertical="center"/>
      <protection/>
    </xf>
    <xf numFmtId="187" fontId="4" fillId="36" borderId="0" xfId="0" applyNumberFormat="1" applyFont="1" applyFill="1" applyBorder="1" applyAlignment="1" applyProtection="1">
      <alignment horizontal="center" vertical="center"/>
      <protection/>
    </xf>
    <xf numFmtId="2" fontId="4" fillId="36" borderId="0" xfId="0" applyNumberFormat="1" applyFont="1" applyFill="1" applyBorder="1" applyAlignment="1" applyProtection="1">
      <alignment/>
      <protection/>
    </xf>
    <xf numFmtId="0" fontId="4" fillId="36" borderId="0" xfId="0" applyNumberFormat="1" applyFont="1" applyFill="1" applyBorder="1" applyAlignment="1" applyProtection="1">
      <alignment/>
      <protection locked="0"/>
    </xf>
    <xf numFmtId="1" fontId="14" fillId="35" borderId="0" xfId="0" applyNumberFormat="1" applyFont="1" applyFill="1" applyBorder="1" applyAlignment="1" applyProtection="1">
      <alignment vertical="center"/>
      <protection/>
    </xf>
    <xf numFmtId="2" fontId="12" fillId="0" borderId="0" xfId="0" applyNumberFormat="1" applyFont="1" applyBorder="1" applyAlignment="1" applyProtection="1">
      <alignment horizontal="center" vertical="center"/>
      <protection/>
    </xf>
    <xf numFmtId="0" fontId="5" fillId="43" borderId="10" xfId="0" applyFont="1" applyFill="1" applyBorder="1" applyAlignment="1">
      <alignment horizontal="center" vertical="center"/>
    </xf>
    <xf numFmtId="0" fontId="18" fillId="0" borderId="0" xfId="0" applyFont="1" applyAlignment="1" applyProtection="1">
      <alignment wrapText="1"/>
      <protection/>
    </xf>
    <xf numFmtId="0" fontId="5" fillId="46" borderId="0" xfId="0" applyFont="1" applyFill="1" applyBorder="1" applyAlignment="1" applyProtection="1">
      <alignment horizontal="center" vertical="center"/>
      <protection/>
    </xf>
    <xf numFmtId="0" fontId="18" fillId="42" borderId="0" xfId="0" applyFont="1" applyFill="1" applyBorder="1" applyAlignment="1" applyProtection="1">
      <alignment horizontal="center" vertical="center"/>
      <protection/>
    </xf>
    <xf numFmtId="1" fontId="17" fillId="35" borderId="0" xfId="0" applyNumberFormat="1" applyFont="1" applyFill="1" applyBorder="1" applyAlignment="1" applyProtection="1">
      <alignment vertical="center"/>
      <protection/>
    </xf>
    <xf numFmtId="0" fontId="5" fillId="43" borderId="13" xfId="0" applyFont="1" applyFill="1" applyBorder="1" applyAlignment="1" applyProtection="1">
      <alignment horizontal="center" vertical="center"/>
      <protection/>
    </xf>
    <xf numFmtId="0" fontId="5" fillId="36" borderId="0" xfId="0" applyFont="1" applyFill="1" applyBorder="1" applyAlignment="1" applyProtection="1">
      <alignment/>
      <protection/>
    </xf>
    <xf numFmtId="3" fontId="4" fillId="0" borderId="16" xfId="0" applyNumberFormat="1" applyFont="1" applyBorder="1" applyAlignment="1" applyProtection="1">
      <alignment horizontal="center" vertical="center"/>
      <protection/>
    </xf>
    <xf numFmtId="0" fontId="11" fillId="0" borderId="0" xfId="0" applyNumberFormat="1" applyFont="1" applyBorder="1" applyAlignment="1" applyProtection="1">
      <alignment/>
      <protection/>
    </xf>
    <xf numFmtId="0" fontId="12" fillId="0" borderId="0" xfId="0" applyNumberFormat="1" applyFont="1" applyBorder="1" applyAlignment="1" applyProtection="1">
      <alignment/>
      <protection/>
    </xf>
    <xf numFmtId="3" fontId="4" fillId="34" borderId="17" xfId="0" applyNumberFormat="1" applyFont="1" applyFill="1" applyBorder="1" applyAlignment="1" applyProtection="1">
      <alignment horizontal="center" vertical="center"/>
      <protection locked="0"/>
    </xf>
    <xf numFmtId="0" fontId="6" fillId="36" borderId="0" xfId="0" applyNumberFormat="1" applyFont="1" applyFill="1" applyBorder="1" applyAlignment="1" applyProtection="1">
      <alignment/>
      <protection/>
    </xf>
    <xf numFmtId="2" fontId="12" fillId="39" borderId="10" xfId="0" applyNumberFormat="1" applyFont="1" applyFill="1" applyBorder="1" applyAlignment="1" applyProtection="1">
      <alignment horizontal="center" vertical="center"/>
      <protection/>
    </xf>
    <xf numFmtId="2" fontId="4" fillId="35" borderId="0" xfId="0" applyNumberFormat="1" applyFont="1" applyFill="1" applyBorder="1" applyAlignment="1" applyProtection="1">
      <alignment horizontal="center" vertical="center"/>
      <protection/>
    </xf>
    <xf numFmtId="0" fontId="4" fillId="42" borderId="0" xfId="0" applyNumberFormat="1" applyFont="1" applyFill="1" applyBorder="1" applyAlignment="1" applyProtection="1">
      <alignment horizontal="center" vertical="center" wrapText="1"/>
      <protection/>
    </xf>
    <xf numFmtId="2" fontId="5" fillId="37" borderId="0" xfId="0" applyNumberFormat="1" applyFont="1" applyFill="1" applyBorder="1" applyAlignment="1" applyProtection="1">
      <alignment horizontal="center" vertical="center"/>
      <protection/>
    </xf>
    <xf numFmtId="2" fontId="12" fillId="0" borderId="0" xfId="0" applyNumberFormat="1" applyFont="1" applyBorder="1" applyAlignment="1" applyProtection="1">
      <alignment vertical="center"/>
      <protection/>
    </xf>
    <xf numFmtId="3" fontId="12" fillId="0" borderId="0" xfId="0" applyNumberFormat="1" applyFont="1" applyBorder="1" applyAlignment="1" applyProtection="1">
      <alignment vertical="center"/>
      <protection/>
    </xf>
    <xf numFmtId="0" fontId="4" fillId="33" borderId="10" xfId="0" applyNumberFormat="1" applyFont="1" applyFill="1" applyBorder="1" applyAlignment="1" applyProtection="1">
      <alignment horizontal="center" vertical="center"/>
      <protection/>
    </xf>
    <xf numFmtId="3" fontId="12" fillId="47" borderId="13" xfId="0" applyNumberFormat="1" applyFont="1" applyFill="1" applyBorder="1" applyAlignment="1" applyProtection="1">
      <alignment horizontal="center" vertical="center"/>
      <protection/>
    </xf>
    <xf numFmtId="2" fontId="12" fillId="47" borderId="13" xfId="0" applyNumberFormat="1" applyFont="1" applyFill="1" applyBorder="1" applyAlignment="1" applyProtection="1">
      <alignment horizontal="center" vertical="center"/>
      <protection/>
    </xf>
    <xf numFmtId="2" fontId="12" fillId="47" borderId="13"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protection/>
    </xf>
    <xf numFmtId="2" fontId="12" fillId="34" borderId="12" xfId="0" applyNumberFormat="1" applyFont="1" applyFill="1" applyBorder="1" applyAlignment="1" applyProtection="1">
      <alignment horizontal="center" vertical="center" wrapText="1"/>
      <protection locked="0"/>
    </xf>
    <xf numFmtId="3" fontId="12" fillId="34" borderId="13" xfId="0" applyNumberFormat="1" applyFont="1" applyFill="1" applyBorder="1" applyAlignment="1" applyProtection="1">
      <alignment horizontal="center" vertical="center"/>
      <protection locked="0"/>
    </xf>
    <xf numFmtId="4" fontId="4" fillId="34" borderId="13" xfId="0" applyNumberFormat="1" applyFont="1" applyFill="1" applyBorder="1" applyAlignment="1" applyProtection="1">
      <alignment horizontal="center" vertical="center"/>
      <protection locked="0"/>
    </xf>
    <xf numFmtId="0" fontId="4" fillId="33" borderId="11" xfId="0" applyNumberFormat="1" applyFont="1" applyFill="1" applyBorder="1" applyAlignment="1" applyProtection="1">
      <alignment horizontal="center" vertical="center"/>
      <protection/>
    </xf>
    <xf numFmtId="4" fontId="12" fillId="34" borderId="13" xfId="0" applyNumberFormat="1" applyFont="1" applyFill="1" applyBorder="1" applyAlignment="1" applyProtection="1">
      <alignment horizontal="center" vertical="center"/>
      <protection locked="0"/>
    </xf>
    <xf numFmtId="2" fontId="12" fillId="34" borderId="11"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protection locked="0"/>
    </xf>
    <xf numFmtId="0" fontId="18" fillId="39" borderId="11" xfId="0" applyFont="1" applyFill="1" applyBorder="1" applyAlignment="1" applyProtection="1">
      <alignment horizontal="center" vertical="center"/>
      <protection/>
    </xf>
    <xf numFmtId="0" fontId="10" fillId="0" borderId="0" xfId="0" applyFont="1" applyAlignment="1">
      <alignment/>
    </xf>
    <xf numFmtId="0" fontId="5" fillId="0" borderId="0" xfId="0" applyFont="1" applyBorder="1" applyAlignment="1">
      <alignment horizontal="left" vertical="center" wrapText="1" indent="3"/>
    </xf>
    <xf numFmtId="0" fontId="5" fillId="0" borderId="0" xfId="0" applyFont="1" applyBorder="1" applyAlignment="1">
      <alignment/>
    </xf>
    <xf numFmtId="0" fontId="8" fillId="36" borderId="0" xfId="0" applyNumberFormat="1" applyFont="1" applyFill="1" applyBorder="1" applyAlignment="1" applyProtection="1">
      <alignment horizontal="justify" vertical="center" wrapText="1"/>
      <protection/>
    </xf>
    <xf numFmtId="0" fontId="16" fillId="0" borderId="0" xfId="0" applyFont="1" applyAlignment="1" applyProtection="1">
      <alignment horizontal="center" vertical="center"/>
      <protection/>
    </xf>
    <xf numFmtId="0" fontId="5" fillId="39" borderId="18" xfId="0" applyFont="1" applyFill="1" applyBorder="1" applyAlignment="1">
      <alignment horizontal="center" vertical="center"/>
    </xf>
    <xf numFmtId="0" fontId="5" fillId="0" borderId="18" xfId="0" applyFont="1" applyBorder="1" applyAlignment="1">
      <alignment/>
    </xf>
    <xf numFmtId="0" fontId="5" fillId="0" borderId="18" xfId="0" applyFont="1" applyBorder="1" applyAlignment="1">
      <alignment horizontal="left" vertical="top" wrapText="1" indent="3"/>
    </xf>
    <xf numFmtId="0" fontId="6" fillId="0" borderId="0" xfId="0" applyNumberFormat="1" applyFont="1" applyBorder="1" applyAlignment="1" applyProtection="1">
      <alignment horizontal="justify" vertical="top" wrapText="1"/>
      <protection/>
    </xf>
    <xf numFmtId="0" fontId="14" fillId="0" borderId="0" xfId="0" applyNumberFormat="1" applyFont="1" applyBorder="1" applyAlignment="1" applyProtection="1">
      <alignment horizontal="justify" vertical="top" wrapText="1"/>
      <protection/>
    </xf>
    <xf numFmtId="0" fontId="13" fillId="33" borderId="13" xfId="0" applyNumberFormat="1" applyFont="1" applyFill="1" applyBorder="1" applyAlignment="1" applyProtection="1">
      <alignment horizontal="center" vertical="center"/>
      <protection/>
    </xf>
    <xf numFmtId="0" fontId="6" fillId="0" borderId="19" xfId="0" applyNumberFormat="1" applyFont="1" applyBorder="1" applyAlignment="1" applyProtection="1">
      <alignment horizontal="left" vertical="center" wrapText="1" indent="3"/>
      <protection/>
    </xf>
    <xf numFmtId="0" fontId="15" fillId="0" borderId="19" xfId="0" applyFont="1" applyBorder="1" applyAlignment="1" applyProtection="1">
      <alignment horizontal="left" vertical="center" wrapText="1" indent="3"/>
      <protection/>
    </xf>
    <xf numFmtId="0" fontId="13" fillId="0" borderId="0" xfId="0" applyNumberFormat="1" applyFont="1" applyBorder="1" applyAlignment="1" applyProtection="1">
      <alignment/>
      <protection/>
    </xf>
    <xf numFmtId="0" fontId="13" fillId="0" borderId="0" xfId="0" applyNumberFormat="1" applyFont="1" applyBorder="1" applyAlignment="1" applyProtection="1">
      <alignment horizontal="left" vertical="center"/>
      <protection/>
    </xf>
    <xf numFmtId="0" fontId="5" fillId="0" borderId="0" xfId="0" applyFont="1" applyAlignment="1" applyProtection="1">
      <alignment wrapText="1"/>
      <protection/>
    </xf>
    <xf numFmtId="0" fontId="13" fillId="0" borderId="0" xfId="0" applyNumberFormat="1" applyFont="1" applyBorder="1" applyAlignment="1" applyProtection="1">
      <alignment horizontal="justify" vertical="center" wrapText="1"/>
      <protection/>
    </xf>
    <xf numFmtId="0" fontId="13" fillId="0" borderId="0" xfId="0" applyNumberFormat="1" applyFont="1" applyBorder="1" applyAlignment="1" applyProtection="1">
      <alignment horizontal="center" vertical="center"/>
      <protection/>
    </xf>
    <xf numFmtId="1" fontId="21" fillId="35" borderId="20" xfId="0" applyNumberFormat="1" applyFont="1" applyFill="1" applyBorder="1" applyAlignment="1" applyProtection="1">
      <alignment horizontal="center" vertical="center" wrapText="1"/>
      <protection/>
    </xf>
    <xf numFmtId="0" fontId="22" fillId="0" borderId="21" xfId="0" applyFont="1" applyBorder="1" applyAlignment="1">
      <alignment horizontal="center" vertical="center" wrapText="1"/>
    </xf>
    <xf numFmtId="0" fontId="12" fillId="45" borderId="0" xfId="0" applyNumberFormat="1" applyFont="1" applyFill="1" applyBorder="1" applyAlignment="1" applyProtection="1">
      <alignment horizontal="center" vertical="center" wrapText="1"/>
      <protection/>
    </xf>
    <xf numFmtId="2" fontId="12" fillId="39" borderId="22" xfId="0" applyNumberFormat="1" applyFont="1" applyFill="1" applyBorder="1" applyAlignment="1" applyProtection="1">
      <alignment horizontal="center" vertical="center" wrapText="1"/>
      <protection/>
    </xf>
    <xf numFmtId="0" fontId="5" fillId="0" borderId="16" xfId="0" applyFont="1" applyBorder="1" applyAlignment="1" applyProtection="1">
      <alignment/>
      <protection/>
    </xf>
    <xf numFmtId="0" fontId="4" fillId="47" borderId="22" xfId="0" applyNumberFormat="1" applyFont="1" applyFill="1" applyBorder="1" applyAlignment="1" applyProtection="1">
      <alignment horizontal="center" vertical="center" wrapText="1"/>
      <protection/>
    </xf>
    <xf numFmtId="0" fontId="4" fillId="47" borderId="16" xfId="0" applyNumberFormat="1" applyFont="1" applyFill="1" applyBorder="1" applyAlignment="1" applyProtection="1">
      <alignment horizontal="center" vertical="center" wrapText="1"/>
      <protection/>
    </xf>
    <xf numFmtId="0" fontId="12" fillId="39" borderId="22" xfId="0" applyNumberFormat="1" applyFont="1" applyFill="1" applyBorder="1" applyAlignment="1" applyProtection="1">
      <alignment horizontal="center" vertical="center" wrapText="1"/>
      <protection/>
    </xf>
    <xf numFmtId="2" fontId="12" fillId="39" borderId="10" xfId="0" applyNumberFormat="1" applyFont="1" applyFill="1" applyBorder="1" applyAlignment="1" applyProtection="1">
      <alignment horizontal="center" vertical="center" wrapText="1"/>
      <protection/>
    </xf>
    <xf numFmtId="0" fontId="18" fillId="39" borderId="13" xfId="0" applyFont="1" applyFill="1" applyBorder="1" applyAlignment="1" applyProtection="1">
      <alignment horizontal="center" vertical="center"/>
      <protection/>
    </xf>
    <xf numFmtId="0" fontId="18" fillId="33" borderId="23" xfId="0" applyFont="1" applyFill="1" applyBorder="1" applyAlignment="1" applyProtection="1">
      <alignment horizontal="center" vertical="center" wrapText="1"/>
      <protection/>
    </xf>
    <xf numFmtId="0" fontId="18" fillId="33" borderId="24" xfId="0" applyFont="1" applyFill="1" applyBorder="1" applyAlignment="1" applyProtection="1">
      <alignment horizontal="center" vertical="center" wrapText="1"/>
      <protection/>
    </xf>
    <xf numFmtId="0" fontId="5" fillId="0" borderId="16" xfId="0" applyFont="1" applyBorder="1" applyAlignment="1" applyProtection="1">
      <alignment wrapText="1"/>
      <protection/>
    </xf>
    <xf numFmtId="2" fontId="12" fillId="33" borderId="12" xfId="0" applyNumberFormat="1" applyFont="1" applyFill="1" applyBorder="1" applyAlignment="1" applyProtection="1">
      <alignment horizontal="center" vertical="center" wrapText="1"/>
      <protection/>
    </xf>
    <xf numFmtId="1" fontId="12" fillId="43" borderId="13" xfId="0" applyNumberFormat="1" applyFont="1" applyFill="1" applyBorder="1" applyAlignment="1" applyProtection="1">
      <alignment horizontal="center" vertical="center" wrapText="1"/>
      <protection/>
    </xf>
    <xf numFmtId="2" fontId="12" fillId="39" borderId="13" xfId="0" applyNumberFormat="1" applyFont="1" applyFill="1" applyBorder="1" applyAlignment="1" applyProtection="1">
      <alignment horizontal="center" vertical="center"/>
      <protection/>
    </xf>
    <xf numFmtId="2" fontId="12" fillId="39" borderId="13" xfId="0" applyNumberFormat="1" applyFont="1" applyFill="1" applyBorder="1" applyAlignment="1" applyProtection="1">
      <alignment horizontal="center" vertical="center" wrapText="1"/>
      <protection/>
    </xf>
    <xf numFmtId="0" fontId="12" fillId="39" borderId="13" xfId="0" applyNumberFormat="1" applyFont="1" applyFill="1" applyBorder="1" applyAlignment="1" applyProtection="1">
      <alignment horizontal="center" vertical="center" wrapText="1"/>
      <protection/>
    </xf>
    <xf numFmtId="2" fontId="12" fillId="39" borderId="12" xfId="0" applyNumberFormat="1" applyFont="1" applyFill="1" applyBorder="1" applyAlignment="1" applyProtection="1">
      <alignment horizontal="center" vertical="center" wrapText="1"/>
      <protection/>
    </xf>
    <xf numFmtId="2" fontId="12" fillId="39" borderId="11" xfId="0" applyNumberFormat="1"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protection/>
    </xf>
    <xf numFmtId="0" fontId="18" fillId="0" borderId="0" xfId="0" applyFont="1" applyAlignment="1">
      <alignment wrapText="1"/>
    </xf>
    <xf numFmtId="0" fontId="16" fillId="0" borderId="0" xfId="0" applyFont="1" applyAlignment="1" applyProtection="1">
      <alignment horizontal="center" vertical="center"/>
      <protection/>
    </xf>
    <xf numFmtId="0" fontId="18" fillId="0" borderId="0" xfId="0" applyFont="1" applyAlignment="1" applyProtection="1">
      <alignment horizontal="center" vertical="center"/>
      <protection/>
    </xf>
    <xf numFmtId="0" fontId="18" fillId="39" borderId="10" xfId="0" applyFont="1" applyFill="1" applyBorder="1" applyAlignment="1" applyProtection="1">
      <alignment horizontal="center" vertical="center"/>
      <protection/>
    </xf>
    <xf numFmtId="0" fontId="18" fillId="39" borderId="12" xfId="0" applyFont="1" applyFill="1" applyBorder="1" applyAlignment="1" applyProtection="1">
      <alignment horizontal="center" vertical="center"/>
      <protection/>
    </xf>
    <xf numFmtId="2" fontId="12" fillId="39" borderId="11" xfId="0" applyNumberFormat="1" applyFont="1" applyFill="1" applyBorder="1" applyAlignment="1" applyProtection="1">
      <alignment horizontal="center" vertical="center"/>
      <protection/>
    </xf>
    <xf numFmtId="0" fontId="18" fillId="33" borderId="13" xfId="0" applyFont="1" applyFill="1" applyBorder="1" applyAlignment="1">
      <alignment horizontal="center" vertical="center"/>
    </xf>
    <xf numFmtId="0" fontId="18" fillId="0" borderId="0" xfId="0" applyFont="1" applyAlignment="1" applyProtection="1">
      <alignment wrapText="1"/>
      <protection/>
    </xf>
    <xf numFmtId="0" fontId="18" fillId="33" borderId="13" xfId="0" applyFont="1" applyFill="1" applyBorder="1" applyAlignment="1" applyProtection="1">
      <alignment horizontal="center" vertical="center" wrapText="1"/>
      <protection/>
    </xf>
    <xf numFmtId="2" fontId="12" fillId="33" borderId="12" xfId="0" applyNumberFormat="1" applyFont="1" applyFill="1" applyBorder="1" applyAlignment="1" applyProtection="1">
      <alignment horizontal="center" vertical="center"/>
      <protection/>
    </xf>
    <xf numFmtId="2" fontId="12" fillId="33" borderId="11" xfId="0" applyNumberFormat="1" applyFont="1" applyFill="1" applyBorder="1" applyAlignment="1" applyProtection="1">
      <alignment horizontal="center" vertical="center" wrapText="1"/>
      <protection/>
    </xf>
    <xf numFmtId="2" fontId="12" fillId="39" borderId="25" xfId="0" applyNumberFormat="1" applyFont="1" applyFill="1" applyBorder="1" applyAlignment="1" applyProtection="1">
      <alignment horizontal="center" vertical="center"/>
      <protection/>
    </xf>
    <xf numFmtId="4" fontId="12" fillId="39" borderId="25" xfId="0" applyNumberFormat="1" applyFont="1" applyFill="1" applyBorder="1" applyAlignment="1" applyProtection="1">
      <alignment horizontal="center" vertical="center"/>
      <protection/>
    </xf>
    <xf numFmtId="4" fontId="12" fillId="39" borderId="26" xfId="0" applyNumberFormat="1" applyFont="1" applyFill="1" applyBorder="1" applyAlignment="1" applyProtection="1">
      <alignment horizontal="center" vertical="center"/>
      <protection/>
    </xf>
    <xf numFmtId="4" fontId="12" fillId="39" borderId="14" xfId="0" applyNumberFormat="1" applyFont="1" applyFill="1" applyBorder="1" applyAlignment="1" applyProtection="1">
      <alignment horizontal="center" vertical="center"/>
      <protection/>
    </xf>
    <xf numFmtId="4" fontId="12" fillId="39" borderId="13" xfId="0" applyNumberFormat="1" applyFont="1" applyFill="1" applyBorder="1" applyAlignment="1" applyProtection="1">
      <alignment horizontal="center" vertical="center"/>
      <protection/>
    </xf>
    <xf numFmtId="0" fontId="12" fillId="39" borderId="14" xfId="0" applyNumberFormat="1" applyFont="1" applyFill="1" applyBorder="1" applyAlignment="1" applyProtection="1">
      <alignment horizontal="center" vertical="center" wrapText="1"/>
      <protection/>
    </xf>
    <xf numFmtId="4" fontId="12" fillId="39" borderId="16" xfId="0" applyNumberFormat="1" applyFont="1" applyFill="1" applyBorder="1" applyAlignment="1" applyProtection="1">
      <alignment horizontal="center" vertical="center"/>
      <protection/>
    </xf>
    <xf numFmtId="0" fontId="12" fillId="39" borderId="27" xfId="0" applyNumberFormat="1" applyFont="1" applyFill="1" applyBorder="1" applyAlignment="1" applyProtection="1">
      <alignment horizontal="center" vertical="center" wrapText="1"/>
      <protection/>
    </xf>
    <xf numFmtId="0" fontId="12" fillId="39" borderId="16" xfId="0" applyNumberFormat="1" applyFont="1" applyFill="1" applyBorder="1" applyAlignment="1" applyProtection="1">
      <alignment horizontal="center" vertical="center"/>
      <protection/>
    </xf>
    <xf numFmtId="0" fontId="12" fillId="39" borderId="13" xfId="0" applyNumberFormat="1" applyFont="1" applyFill="1" applyBorder="1" applyAlignment="1" applyProtection="1">
      <alignment horizontal="center" vertical="center"/>
      <protection/>
    </xf>
    <xf numFmtId="0" fontId="5" fillId="0" borderId="13" xfId="0" applyFont="1" applyBorder="1" applyAlignment="1" applyProtection="1">
      <alignment/>
      <protection/>
    </xf>
    <xf numFmtId="0" fontId="4" fillId="39" borderId="12"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12" fillId="39" borderId="16" xfId="0" applyNumberFormat="1" applyFont="1" applyFill="1" applyBorder="1" applyAlignment="1" applyProtection="1">
      <alignment horizontal="center" vertical="center" wrapText="1"/>
      <protection/>
    </xf>
    <xf numFmtId="2" fontId="4" fillId="33" borderId="11"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5" fillId="47" borderId="25" xfId="0" applyFont="1" applyFill="1" applyBorder="1" applyAlignment="1" applyProtection="1">
      <alignment horizontal="center" vertical="center"/>
      <protection/>
    </xf>
    <xf numFmtId="0" fontId="5" fillId="47" borderId="14" xfId="0" applyFont="1" applyFill="1" applyBorder="1" applyAlignment="1" applyProtection="1">
      <alignment horizontal="center" vertical="center"/>
      <protection/>
    </xf>
    <xf numFmtId="2" fontId="4" fillId="39" borderId="12" xfId="0" applyNumberFormat="1" applyFont="1" applyFill="1" applyBorder="1" applyAlignment="1" applyProtection="1">
      <alignment horizontal="center" vertical="center" wrapText="1"/>
      <protection/>
    </xf>
    <xf numFmtId="2" fontId="12" fillId="33" borderId="28" xfId="0" applyNumberFormat="1" applyFont="1" applyFill="1" applyBorder="1" applyAlignment="1" applyProtection="1">
      <alignment horizontal="center" vertical="center"/>
      <protection/>
    </xf>
    <xf numFmtId="2" fontId="12" fillId="33" borderId="29" xfId="0" applyNumberFormat="1" applyFont="1" applyFill="1" applyBorder="1" applyAlignment="1" applyProtection="1">
      <alignment horizontal="center" vertical="center"/>
      <protection/>
    </xf>
    <xf numFmtId="2" fontId="4" fillId="33" borderId="28" xfId="0" applyNumberFormat="1" applyFont="1" applyFill="1" applyBorder="1" applyAlignment="1" applyProtection="1">
      <alignment horizontal="center" vertical="center" wrapText="1"/>
      <protection/>
    </xf>
    <xf numFmtId="2" fontId="4" fillId="33" borderId="29" xfId="0" applyNumberFormat="1" applyFont="1" applyFill="1" applyBorder="1" applyAlignment="1" applyProtection="1">
      <alignment horizontal="center" vertical="center" wrapText="1"/>
      <protection/>
    </xf>
    <xf numFmtId="2" fontId="12" fillId="39" borderId="16" xfId="0" applyNumberFormat="1" applyFont="1" applyFill="1" applyBorder="1" applyAlignment="1" applyProtection="1">
      <alignment horizontal="center" vertical="center" wrapText="1"/>
      <protection/>
    </xf>
    <xf numFmtId="0" fontId="12" fillId="39" borderId="25" xfId="0" applyNumberFormat="1" applyFont="1" applyFill="1" applyBorder="1" applyAlignment="1" applyProtection="1">
      <alignment horizontal="center" vertical="center"/>
      <protection/>
    </xf>
    <xf numFmtId="0" fontId="12" fillId="39" borderId="26" xfId="0" applyNumberFormat="1" applyFont="1" applyFill="1" applyBorder="1" applyAlignment="1" applyProtection="1">
      <alignment horizontal="center" vertical="center"/>
      <protection/>
    </xf>
    <xf numFmtId="0" fontId="12" fillId="39" borderId="14" xfId="0" applyNumberFormat="1" applyFont="1" applyFill="1" applyBorder="1" applyAlignment="1" applyProtection="1">
      <alignment horizontal="center" vertical="center"/>
      <protection/>
    </xf>
    <xf numFmtId="1" fontId="12" fillId="48" borderId="22" xfId="0" applyNumberFormat="1" applyFont="1" applyFill="1" applyBorder="1" applyAlignment="1" applyProtection="1">
      <alignment horizontal="center" vertical="center" wrapText="1"/>
      <protection/>
    </xf>
    <xf numFmtId="0" fontId="5" fillId="0" borderId="16" xfId="0" applyFont="1" applyBorder="1" applyAlignment="1" applyProtection="1">
      <alignment vertical="center"/>
      <protection/>
    </xf>
    <xf numFmtId="0" fontId="12" fillId="43" borderId="22" xfId="0" applyNumberFormat="1" applyFont="1" applyFill="1" applyBorder="1" applyAlignment="1" applyProtection="1">
      <alignment horizontal="center" vertical="center" wrapText="1"/>
      <protection/>
    </xf>
    <xf numFmtId="0" fontId="19" fillId="41" borderId="18" xfId="0" applyFont="1" applyFill="1" applyBorder="1" applyAlignment="1" applyProtection="1">
      <alignment horizontal="center" vertical="center" wrapText="1"/>
      <protection/>
    </xf>
    <xf numFmtId="0" fontId="0" fillId="0" borderId="18" xfId="0" applyBorder="1" applyAlignment="1">
      <alignment horizontal="center" wrapText="1"/>
    </xf>
    <xf numFmtId="2" fontId="12" fillId="39" borderId="22" xfId="0" applyNumberFormat="1" applyFont="1" applyFill="1" applyBorder="1" applyAlignment="1" applyProtection="1">
      <alignment horizontal="center" vertical="center" wrapText="1"/>
      <protection locked="0"/>
    </xf>
    <xf numFmtId="0" fontId="5" fillId="0" borderId="16" xfId="0" applyFont="1" applyBorder="1" applyAlignment="1">
      <alignment/>
    </xf>
    <xf numFmtId="0" fontId="12" fillId="39" borderId="22" xfId="0" applyNumberFormat="1" applyFont="1" applyFill="1" applyBorder="1" applyAlignment="1" applyProtection="1">
      <alignment horizontal="center" vertical="center"/>
      <protection/>
    </xf>
    <xf numFmtId="0" fontId="18" fillId="33" borderId="10" xfId="0" applyFont="1" applyFill="1" applyBorder="1" applyAlignment="1" applyProtection="1">
      <alignment horizontal="center" vertical="center"/>
      <protection/>
    </xf>
    <xf numFmtId="0" fontId="9" fillId="0" borderId="30" xfId="0" applyNumberFormat="1" applyFont="1" applyBorder="1" applyAlignment="1" applyProtection="1">
      <alignment horizontal="center"/>
      <protection/>
    </xf>
    <xf numFmtId="0" fontId="9" fillId="0" borderId="31" xfId="0" applyNumberFormat="1" applyFont="1" applyBorder="1" applyAlignment="1" applyProtection="1">
      <alignment horizontal="center"/>
      <protection/>
    </xf>
    <xf numFmtId="0" fontId="9" fillId="0" borderId="32" xfId="0" applyNumberFormat="1" applyFont="1" applyBorder="1" applyAlignment="1" applyProtection="1">
      <alignment horizontal="center"/>
      <protection/>
    </xf>
    <xf numFmtId="1" fontId="12" fillId="40" borderId="22" xfId="0" applyNumberFormat="1" applyFont="1" applyFill="1" applyBorder="1" applyAlignment="1" applyProtection="1">
      <alignment horizontal="center" vertical="center" wrapText="1"/>
      <protection/>
    </xf>
    <xf numFmtId="0" fontId="4" fillId="39" borderId="22" xfId="0" applyNumberFormat="1" applyFont="1" applyFill="1" applyBorder="1" applyAlignment="1" applyProtection="1">
      <alignment horizontal="center" vertical="center" wrapText="1"/>
      <protection/>
    </xf>
    <xf numFmtId="0" fontId="9" fillId="0" borderId="30" xfId="0" applyNumberFormat="1" applyFont="1" applyBorder="1" applyAlignment="1" applyProtection="1">
      <alignment horizontal="center" wrapText="1"/>
      <protection/>
    </xf>
    <xf numFmtId="0" fontId="0" fillId="0" borderId="31" xfId="0" applyFont="1" applyBorder="1" applyAlignment="1">
      <alignment horizontal="center" wrapText="1"/>
    </xf>
    <xf numFmtId="0" fontId="0" fillId="0" borderId="32" xfId="0" applyFont="1" applyBorder="1" applyAlignment="1">
      <alignment horizontal="center" wrapText="1"/>
    </xf>
    <xf numFmtId="2" fontId="8" fillId="0" borderId="0" xfId="0" applyNumberFormat="1" applyFont="1" applyBorder="1" applyAlignment="1" applyProtection="1">
      <alignment horizontal="center" vertical="center" wrapText="1"/>
      <protection/>
    </xf>
    <xf numFmtId="0" fontId="12" fillId="33" borderId="22" xfId="0" applyNumberFormat="1" applyFont="1" applyFill="1" applyBorder="1" applyAlignment="1" applyProtection="1">
      <alignment horizontal="center" vertical="center" wrapText="1"/>
      <protection/>
    </xf>
    <xf numFmtId="0" fontId="7" fillId="0" borderId="18" xfId="0" applyNumberFormat="1" applyFont="1" applyBorder="1" applyAlignment="1" applyProtection="1">
      <alignment horizontal="justify" vertical="top" wrapText="1"/>
      <protection locked="0"/>
    </xf>
    <xf numFmtId="0" fontId="10" fillId="0" borderId="18" xfId="0" applyFont="1" applyBorder="1" applyAlignment="1">
      <alignment horizontal="justify" vertical="top" wrapText="1"/>
    </xf>
    <xf numFmtId="2" fontId="21" fillId="35" borderId="30" xfId="0" applyNumberFormat="1" applyFont="1" applyFill="1" applyBorder="1" applyAlignment="1" applyProtection="1">
      <alignment horizontal="center" vertical="center" wrapText="1"/>
      <protection/>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F8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9"/>
  <sheetViews>
    <sheetView showGridLines="0" zoomScalePageLayoutView="0" workbookViewId="0" topLeftCell="A13">
      <selection activeCell="D16" sqref="D16"/>
    </sheetView>
  </sheetViews>
  <sheetFormatPr defaultColWidth="13.140625" defaultRowHeight="12"/>
  <cols>
    <col min="1" max="1" width="23.28125" style="17" customWidth="1"/>
    <col min="2" max="2" width="15.28125" style="17" customWidth="1"/>
    <col min="3" max="3" width="1.57421875" style="17" customWidth="1"/>
    <col min="4" max="8" width="16.140625" style="17" customWidth="1"/>
    <col min="9" max="9" width="17.140625" style="17" customWidth="1"/>
    <col min="10" max="11" width="13.140625" style="17" customWidth="1"/>
    <col min="12" max="12" width="17.57421875" style="17" customWidth="1"/>
    <col min="13" max="13" width="18.7109375" style="17" customWidth="1"/>
    <col min="14" max="14" width="17.28125" style="17" customWidth="1"/>
    <col min="15" max="16384" width="13.140625" style="17" customWidth="1"/>
  </cols>
  <sheetData>
    <row r="1" spans="1:8" s="45" customFormat="1" ht="28.5" customHeight="1">
      <c r="A1" s="143" t="s">
        <v>198</v>
      </c>
      <c r="B1" s="41"/>
      <c r="C1" s="42"/>
      <c r="D1" s="43"/>
      <c r="E1" s="44"/>
      <c r="F1" s="44"/>
      <c r="G1" s="44"/>
      <c r="H1" s="44"/>
    </row>
    <row r="2" spans="1:8" s="45" customFormat="1" ht="46.5" customHeight="1">
      <c r="A2" s="148" t="s">
        <v>197</v>
      </c>
      <c r="B2" s="148"/>
      <c r="C2" s="148"/>
      <c r="D2" s="148"/>
      <c r="E2" s="148"/>
      <c r="F2" s="148"/>
      <c r="G2" s="148"/>
      <c r="H2" s="148"/>
    </row>
    <row r="3" spans="1:8" s="3" customFormat="1" ht="27.75" customHeight="1">
      <c r="A3" s="149" t="s">
        <v>0</v>
      </c>
      <c r="B3" s="149"/>
      <c r="C3" s="149"/>
      <c r="D3" s="149"/>
      <c r="E3" s="149"/>
      <c r="F3" s="149"/>
      <c r="G3" s="149"/>
      <c r="H3" s="149"/>
    </row>
    <row r="4" spans="1:8" s="46" customFormat="1" ht="31.5" customHeight="1" thickBot="1">
      <c r="A4" s="156" t="s">
        <v>193</v>
      </c>
      <c r="B4" s="156"/>
      <c r="C4" s="156"/>
      <c r="D4" s="156"/>
      <c r="E4" s="156"/>
      <c r="F4" s="156"/>
      <c r="G4" s="156"/>
      <c r="H4" s="156"/>
    </row>
    <row r="5" spans="1:8" s="3" customFormat="1" ht="30.75" customHeight="1" thickBot="1">
      <c r="A5" s="150" t="s">
        <v>1</v>
      </c>
      <c r="B5" s="150"/>
      <c r="C5" s="47"/>
      <c r="D5" s="48">
        <v>3500</v>
      </c>
      <c r="E5" s="151" t="s">
        <v>2</v>
      </c>
      <c r="F5" s="151"/>
      <c r="G5" s="151"/>
      <c r="H5" s="151"/>
    </row>
    <row r="6" spans="1:11" s="3" customFormat="1" ht="30.75" customHeight="1" thickBot="1">
      <c r="A6" s="150" t="s">
        <v>3</v>
      </c>
      <c r="B6" s="150"/>
      <c r="C6" s="47"/>
      <c r="D6" s="48">
        <v>100</v>
      </c>
      <c r="E6" s="151" t="s">
        <v>4</v>
      </c>
      <c r="F6" s="151"/>
      <c r="G6" s="151"/>
      <c r="H6" s="151"/>
      <c r="J6" s="2"/>
      <c r="K6" s="2"/>
    </row>
    <row r="7" spans="1:11" s="3" customFormat="1" ht="30.75" customHeight="1">
      <c r="A7" s="150" t="s">
        <v>5</v>
      </c>
      <c r="B7" s="150"/>
      <c r="C7" s="47"/>
      <c r="D7" s="48">
        <v>4000</v>
      </c>
      <c r="E7" s="152" t="s">
        <v>6</v>
      </c>
      <c r="F7" s="152"/>
      <c r="G7" s="152"/>
      <c r="H7" s="152"/>
      <c r="J7" s="2"/>
      <c r="K7" s="2"/>
    </row>
    <row r="8" spans="1:11" s="3" customFormat="1" ht="30.75" customHeight="1">
      <c r="A8" s="150" t="s">
        <v>7</v>
      </c>
      <c r="B8" s="150"/>
      <c r="C8" s="47"/>
      <c r="D8" s="48">
        <v>10</v>
      </c>
      <c r="E8" s="152" t="s">
        <v>8</v>
      </c>
      <c r="F8" s="152"/>
      <c r="G8" s="152"/>
      <c r="H8" s="152"/>
      <c r="J8" s="2"/>
      <c r="K8" s="2"/>
    </row>
    <row r="9" spans="1:11" s="3" customFormat="1" ht="30.75" customHeight="1">
      <c r="A9" s="150" t="s">
        <v>9</v>
      </c>
      <c r="B9" s="150"/>
      <c r="C9" s="49"/>
      <c r="D9" s="50">
        <v>3</v>
      </c>
      <c r="E9" s="151" t="s">
        <v>10</v>
      </c>
      <c r="F9" s="151"/>
      <c r="G9" s="151"/>
      <c r="H9" s="151"/>
      <c r="J9" s="2"/>
      <c r="K9" s="2"/>
    </row>
    <row r="10" spans="1:8" s="3" customFormat="1" ht="82.5" customHeight="1">
      <c r="A10" s="49"/>
      <c r="B10" s="49"/>
      <c r="C10" s="49"/>
      <c r="D10" s="49"/>
      <c r="E10" s="49"/>
      <c r="F10" s="51"/>
      <c r="G10" s="49"/>
      <c r="H10" s="49"/>
    </row>
    <row r="11" spans="1:8" s="3" customFormat="1" ht="30.75" customHeight="1">
      <c r="A11" s="17"/>
      <c r="B11" s="52" t="s">
        <v>11</v>
      </c>
      <c r="C11" s="17"/>
      <c r="D11" s="53">
        <v>1</v>
      </c>
      <c r="E11" s="53">
        <v>2</v>
      </c>
      <c r="F11" s="53">
        <v>3</v>
      </c>
      <c r="G11" s="53">
        <v>4</v>
      </c>
      <c r="H11" s="53">
        <v>5</v>
      </c>
    </row>
    <row r="12" spans="1:8" s="3" customFormat="1" ht="30.75" customHeight="1">
      <c r="A12" s="17"/>
      <c r="B12" s="17"/>
      <c r="C12" s="17"/>
      <c r="D12" s="49"/>
      <c r="E12" s="17"/>
      <c r="F12" s="17"/>
      <c r="G12" s="17"/>
      <c r="H12" s="17"/>
    </row>
    <row r="13" spans="1:8" s="3" customFormat="1" ht="30.75" customHeight="1">
      <c r="A13" s="157" t="s">
        <v>12</v>
      </c>
      <c r="B13" s="52" t="s">
        <v>13</v>
      </c>
      <c r="C13" s="17"/>
      <c r="D13" s="54">
        <f>'Windows OS'!B171</f>
        <v>1333753.5714285714</v>
      </c>
      <c r="E13" s="54">
        <f>'Windows OS'!C171</f>
        <v>1333753.5714285714</v>
      </c>
      <c r="F13" s="54">
        <f>'Windows OS'!D171</f>
        <v>2365753.5714285714</v>
      </c>
      <c r="G13" s="54">
        <f>'Windows OS'!E171</f>
        <v>618128.5714285714</v>
      </c>
      <c r="H13" s="54">
        <f>'Windows OS'!F171</f>
        <v>1449378.5714285714</v>
      </c>
    </row>
    <row r="14" spans="1:8" s="3" customFormat="1" ht="30.75" customHeight="1">
      <c r="A14" s="157"/>
      <c r="B14" s="52" t="s">
        <v>14</v>
      </c>
      <c r="C14" s="17"/>
      <c r="D14" s="54">
        <f>'Windows OS'!B172</f>
        <v>1224400</v>
      </c>
      <c r="E14" s="54">
        <f>'Windows OS'!C172</f>
        <v>1224400</v>
      </c>
      <c r="F14" s="54">
        <f>'Windows OS'!D172</f>
        <v>3258100</v>
      </c>
      <c r="G14" s="54">
        <f>'Windows OS'!E172</f>
        <v>1244231</v>
      </c>
      <c r="H14" s="54">
        <f>'Windows OS'!F172</f>
        <v>1244231</v>
      </c>
    </row>
    <row r="15" spans="1:8" s="3" customFormat="1" ht="30.75" customHeight="1">
      <c r="A15" s="157"/>
      <c r="B15" s="52" t="s">
        <v>15</v>
      </c>
      <c r="C15" s="17"/>
      <c r="D15" s="54">
        <f>'Windows OS'!B173</f>
        <v>4113581.7307692314</v>
      </c>
      <c r="E15" s="54">
        <f>'Windows OS'!C173</f>
        <v>4113581.7307692314</v>
      </c>
      <c r="F15" s="54">
        <f>'Windows OS'!D173</f>
        <v>4159254.807692308</v>
      </c>
      <c r="G15" s="54">
        <f>'Windows OS'!E173</f>
        <v>4069711.538461539</v>
      </c>
      <c r="H15" s="54">
        <f>'Windows OS'!F173</f>
        <v>4111778.8461538465</v>
      </c>
    </row>
    <row r="16" spans="1:8" s="3" customFormat="1" ht="30.75" customHeight="1">
      <c r="A16" s="17"/>
      <c r="B16" s="52" t="s">
        <v>16</v>
      </c>
      <c r="C16" s="17"/>
      <c r="D16" s="55">
        <f>SUM(D13:D15)</f>
        <v>6671735.302197803</v>
      </c>
      <c r="E16" s="55">
        <f>SUM(E13:E15)</f>
        <v>6671735.302197803</v>
      </c>
      <c r="F16" s="55">
        <f>SUM(F13:F15)</f>
        <v>9783108.379120879</v>
      </c>
      <c r="G16" s="55">
        <f>SUM(G13:G15)</f>
        <v>5932071.109890111</v>
      </c>
      <c r="H16" s="55">
        <f>SUM(H13:H15)</f>
        <v>6805388.417582418</v>
      </c>
    </row>
    <row r="17" spans="1:8" s="3" customFormat="1" ht="30.75" customHeight="1">
      <c r="A17" s="17"/>
      <c r="B17" s="56"/>
      <c r="C17" s="17"/>
      <c r="D17" s="49"/>
      <c r="E17" s="49"/>
      <c r="F17" s="49"/>
      <c r="G17" s="49"/>
      <c r="H17" s="49"/>
    </row>
    <row r="18" spans="1:8" s="3" customFormat="1" ht="30.75" customHeight="1">
      <c r="A18" s="157" t="s">
        <v>194</v>
      </c>
      <c r="B18" s="52" t="s">
        <v>13</v>
      </c>
      <c r="C18" s="17"/>
      <c r="D18" s="54" t="e">
        <v>#REF!</v>
      </c>
      <c r="E18" s="54" t="e">
        <v>#REF!</v>
      </c>
      <c r="F18" s="54" t="e">
        <v>#REF!</v>
      </c>
      <c r="G18" s="54" t="e">
        <v>#REF!</v>
      </c>
      <c r="H18" s="54" t="e">
        <v>#REF!</v>
      </c>
    </row>
    <row r="19" spans="1:8" s="3" customFormat="1" ht="30.75" customHeight="1">
      <c r="A19" s="157"/>
      <c r="B19" s="52" t="s">
        <v>14</v>
      </c>
      <c r="C19" s="17"/>
      <c r="D19" s="54" t="e">
        <v>#REF!</v>
      </c>
      <c r="E19" s="54" t="e">
        <v>#REF!</v>
      </c>
      <c r="F19" s="54" t="e">
        <v>#REF!</v>
      </c>
      <c r="G19" s="54" t="e">
        <v>#REF!</v>
      </c>
      <c r="H19" s="54" t="e">
        <v>#REF!</v>
      </c>
    </row>
    <row r="20" spans="1:8" s="3" customFormat="1" ht="30.75" customHeight="1">
      <c r="A20" s="157"/>
      <c r="B20" s="52" t="s">
        <v>15</v>
      </c>
      <c r="C20" s="17"/>
      <c r="D20" s="54" t="e">
        <v>#REF!</v>
      </c>
      <c r="E20" s="54" t="e">
        <v>#REF!</v>
      </c>
      <c r="F20" s="54" t="e">
        <v>#REF!</v>
      </c>
      <c r="G20" s="54" t="e">
        <v>#REF!</v>
      </c>
      <c r="H20" s="54" t="e">
        <v>#REF!</v>
      </c>
    </row>
    <row r="21" spans="1:8" s="3" customFormat="1" ht="30.75" customHeight="1">
      <c r="A21" s="56"/>
      <c r="B21" s="52" t="s">
        <v>16</v>
      </c>
      <c r="C21" s="17"/>
      <c r="D21" s="55" t="e">
        <f>SUM(D18:D20)</f>
        <v>#REF!</v>
      </c>
      <c r="E21" s="55" t="e">
        <f>SUM(E18:E20)</f>
        <v>#REF!</v>
      </c>
      <c r="F21" s="55" t="e">
        <f>SUM(F18:F20)</f>
        <v>#REF!</v>
      </c>
      <c r="G21" s="55" t="e">
        <f>SUM(G18:G20)</f>
        <v>#REF!</v>
      </c>
      <c r="H21" s="55" t="e">
        <f>SUM(H18:H20)</f>
        <v>#REF!</v>
      </c>
    </row>
    <row r="22" spans="1:8" s="3" customFormat="1" ht="30.75" customHeight="1">
      <c r="A22" s="17"/>
      <c r="B22" s="56"/>
      <c r="C22" s="17"/>
      <c r="D22" s="49"/>
      <c r="E22" s="49"/>
      <c r="F22" s="49"/>
      <c r="G22" s="49"/>
      <c r="H22" s="49"/>
    </row>
    <row r="23" spans="1:8" s="3" customFormat="1" ht="30.75" customHeight="1">
      <c r="A23" s="157" t="s">
        <v>17</v>
      </c>
      <c r="B23" s="52" t="s">
        <v>13</v>
      </c>
      <c r="C23" s="17"/>
      <c r="D23" s="54">
        <f>Migration!D27+Migration!E27</f>
        <v>109250</v>
      </c>
      <c r="E23" s="54">
        <f>Migration!E27</f>
        <v>14250</v>
      </c>
      <c r="F23" s="54">
        <f>Migration!E27</f>
        <v>14250</v>
      </c>
      <c r="G23" s="54">
        <f>Migration!E27</f>
        <v>14250</v>
      </c>
      <c r="H23" s="54">
        <f>Migration!E27</f>
        <v>14250</v>
      </c>
    </row>
    <row r="24" spans="1:8" s="3" customFormat="1" ht="30.75" customHeight="1">
      <c r="A24" s="157"/>
      <c r="B24" s="52" t="s">
        <v>14</v>
      </c>
      <c r="C24" s="17"/>
      <c r="D24" s="54">
        <f>Migration!D28+Migration!E28</f>
        <v>2480000</v>
      </c>
      <c r="E24" s="54">
        <f>Migration!E28</f>
        <v>0</v>
      </c>
      <c r="F24" s="54">
        <f>Migration!E28</f>
        <v>0</v>
      </c>
      <c r="G24" s="54">
        <f>Migration!E28</f>
        <v>0</v>
      </c>
      <c r="H24" s="54">
        <f>Migration!E28</f>
        <v>0</v>
      </c>
    </row>
    <row r="25" spans="1:8" s="3" customFormat="1" ht="30.75" customHeight="1">
      <c r="A25" s="157"/>
      <c r="B25" s="52" t="s">
        <v>15</v>
      </c>
      <c r="C25" s="17"/>
      <c r="D25" s="54">
        <f>Migration!D29+Migration!E29</f>
        <v>1605000</v>
      </c>
      <c r="E25" s="54">
        <f>Migration!E29</f>
        <v>20000</v>
      </c>
      <c r="F25" s="54">
        <f>Migration!E29</f>
        <v>20000</v>
      </c>
      <c r="G25" s="54">
        <f>Migration!E29</f>
        <v>20000</v>
      </c>
      <c r="H25" s="54">
        <f>Migration!E29</f>
        <v>20000</v>
      </c>
    </row>
    <row r="26" spans="1:8" s="3" customFormat="1" ht="30.75" customHeight="1">
      <c r="A26" s="17"/>
      <c r="B26" s="52" t="s">
        <v>16</v>
      </c>
      <c r="C26" s="17"/>
      <c r="D26" s="55">
        <f>SUM(D23:D25)</f>
        <v>4194250</v>
      </c>
      <c r="E26" s="55">
        <f>SUM(E23:E25)</f>
        <v>34250</v>
      </c>
      <c r="F26" s="55">
        <f>SUM(F23:F25)</f>
        <v>34250</v>
      </c>
      <c r="G26" s="55">
        <f>SUM(G23:G25)</f>
        <v>34250</v>
      </c>
      <c r="H26" s="55">
        <f>SUM(H23:H25)</f>
        <v>34250</v>
      </c>
    </row>
    <row r="27" spans="1:8" s="3" customFormat="1" ht="30.75" customHeight="1">
      <c r="A27" s="17"/>
      <c r="B27" s="153"/>
      <c r="C27" s="153"/>
      <c r="D27" s="153"/>
      <c r="E27" s="153"/>
      <c r="F27" s="153"/>
      <c r="G27" s="153"/>
      <c r="H27" s="153"/>
    </row>
    <row r="28" spans="1:8" s="3" customFormat="1" ht="30.75" customHeight="1">
      <c r="A28" s="52" t="s">
        <v>18</v>
      </c>
      <c r="B28" s="154" t="e">
        <f>IF(E38=99,E39,IF(E38=0,CONCATENATE(TEXT(F38,0),F39),IF(F38=0,CONCATENATE(TEXT(E38,0),E39),CONCATENATE(TEXT(E38,0),E39," ",TEXT(F38,0),F39))))</f>
        <v>#REF!</v>
      </c>
      <c r="C28" s="154"/>
      <c r="D28" s="154"/>
      <c r="E28" s="154"/>
      <c r="F28" s="17"/>
      <c r="G28" s="17"/>
      <c r="H28" s="17"/>
    </row>
    <row r="29" spans="1:11" s="3" customFormat="1" ht="30.75" customHeight="1" hidden="1">
      <c r="A29" s="2"/>
      <c r="B29" s="2"/>
      <c r="C29" s="2"/>
      <c r="D29" s="2"/>
      <c r="E29" s="2"/>
      <c r="F29" s="2"/>
      <c r="G29" s="2"/>
      <c r="H29" s="2"/>
      <c r="I29" s="2"/>
      <c r="J29" s="2"/>
      <c r="K29" s="2"/>
    </row>
    <row r="30" spans="1:11" s="3" customFormat="1" ht="30.75" customHeight="1" hidden="1">
      <c r="A30" s="17"/>
      <c r="B30" s="155" t="s">
        <v>19</v>
      </c>
      <c r="C30" s="155"/>
      <c r="D30" s="155"/>
      <c r="E30" s="155"/>
      <c r="F30" s="155"/>
      <c r="G30" s="2"/>
      <c r="H30" s="2"/>
      <c r="I30" s="2"/>
      <c r="J30" s="2"/>
      <c r="K30" s="2"/>
    </row>
    <row r="31" spans="1:11" s="3" customFormat="1" ht="30.75" customHeight="1" hidden="1">
      <c r="A31" s="2"/>
      <c r="B31" s="2"/>
      <c r="C31" s="2"/>
      <c r="D31" s="40">
        <f>D16</f>
        <v>6671735.302197803</v>
      </c>
      <c r="E31" s="40">
        <f>E16</f>
        <v>6671735.302197803</v>
      </c>
      <c r="F31" s="40">
        <f>F16</f>
        <v>9783108.379120879</v>
      </c>
      <c r="G31" s="40">
        <f>G16</f>
        <v>5932071.109890111</v>
      </c>
      <c r="H31" s="40">
        <f>H16</f>
        <v>6805388.417582418</v>
      </c>
      <c r="I31" s="40" t="s">
        <v>20</v>
      </c>
      <c r="J31" s="2"/>
      <c r="K31" s="2"/>
    </row>
    <row r="32" spans="1:11" s="3" customFormat="1" ht="30.75" customHeight="1" hidden="1">
      <c r="A32" s="2"/>
      <c r="B32" s="2"/>
      <c r="C32" s="2"/>
      <c r="D32" s="2" t="e">
        <f>D21</f>
        <v>#REF!</v>
      </c>
      <c r="E32" s="2" t="e">
        <f>E21</f>
        <v>#REF!</v>
      </c>
      <c r="F32" s="2" t="e">
        <f>F21</f>
        <v>#REF!</v>
      </c>
      <c r="G32" s="2" t="e">
        <f>G21</f>
        <v>#REF!</v>
      </c>
      <c r="H32" s="2" t="e">
        <f>H21</f>
        <v>#REF!</v>
      </c>
      <c r="I32" s="2" t="s">
        <v>195</v>
      </c>
      <c r="J32" s="2"/>
      <c r="K32" s="2"/>
    </row>
    <row r="33" spans="1:11" s="3" customFormat="1" ht="30.75" customHeight="1" hidden="1">
      <c r="A33" s="2"/>
      <c r="B33" s="2"/>
      <c r="C33" s="2"/>
      <c r="D33" s="2">
        <f>D26</f>
        <v>4194250</v>
      </c>
      <c r="E33" s="2">
        <f>E26</f>
        <v>34250</v>
      </c>
      <c r="F33" s="2">
        <f>F26</f>
        <v>34250</v>
      </c>
      <c r="G33" s="2">
        <f>G26</f>
        <v>34250</v>
      </c>
      <c r="H33" s="2">
        <f>H26</f>
        <v>34250</v>
      </c>
      <c r="I33" s="2" t="s">
        <v>21</v>
      </c>
      <c r="J33" s="2"/>
      <c r="K33" s="2"/>
    </row>
    <row r="34" spans="1:11" s="3" customFormat="1" ht="30.75" customHeight="1" hidden="1">
      <c r="A34" s="2"/>
      <c r="B34" s="2"/>
      <c r="C34" s="2"/>
      <c r="D34" s="2">
        <f>D31</f>
        <v>6671735.302197803</v>
      </c>
      <c r="E34" s="2">
        <f aca="true" t="shared" si="0" ref="E34:H35">D34+E31</f>
        <v>13343470.604395606</v>
      </c>
      <c r="F34" s="2">
        <f t="shared" si="0"/>
        <v>23126578.983516484</v>
      </c>
      <c r="G34" s="2">
        <f t="shared" si="0"/>
        <v>29058650.093406595</v>
      </c>
      <c r="H34" s="2">
        <f t="shared" si="0"/>
        <v>35864038.51098901</v>
      </c>
      <c r="I34" s="2" t="s">
        <v>22</v>
      </c>
      <c r="J34" s="2"/>
      <c r="K34" s="2"/>
    </row>
    <row r="35" spans="1:11" s="3" customFormat="1" ht="30.75" customHeight="1" hidden="1">
      <c r="A35" s="2"/>
      <c r="B35" s="2"/>
      <c r="C35" s="2"/>
      <c r="D35" s="2" t="e">
        <f>D32</f>
        <v>#REF!</v>
      </c>
      <c r="E35" s="2" t="e">
        <f t="shared" si="0"/>
        <v>#REF!</v>
      </c>
      <c r="F35" s="2" t="e">
        <f t="shared" si="0"/>
        <v>#REF!</v>
      </c>
      <c r="G35" s="2" t="e">
        <f t="shared" si="0"/>
        <v>#REF!</v>
      </c>
      <c r="H35" s="2" t="e">
        <f t="shared" si="0"/>
        <v>#REF!</v>
      </c>
      <c r="I35" s="2" t="s">
        <v>196</v>
      </c>
      <c r="J35" s="2"/>
      <c r="K35" s="2"/>
    </row>
    <row r="36" spans="1:11" s="3" customFormat="1" ht="30.75" customHeight="1" hidden="1">
      <c r="A36" s="2"/>
      <c r="B36" s="2"/>
      <c r="C36" s="2"/>
      <c r="D36" s="2">
        <f>D26</f>
        <v>4194250</v>
      </c>
      <c r="E36" s="2">
        <f>D36+E26</f>
        <v>4228500</v>
      </c>
      <c r="F36" s="2">
        <f>E36+F26</f>
        <v>4262750</v>
      </c>
      <c r="G36" s="2">
        <f>F36+G26</f>
        <v>4297000</v>
      </c>
      <c r="H36" s="2">
        <f>G36+H26</f>
        <v>4331250</v>
      </c>
      <c r="I36" s="2" t="s">
        <v>23</v>
      </c>
      <c r="J36" s="2"/>
      <c r="K36" s="2"/>
    </row>
    <row r="37" spans="4:9" ht="30.75" customHeight="1" hidden="1">
      <c r="D37" s="2" t="e">
        <f>D35+D36-D34</f>
        <v>#REF!</v>
      </c>
      <c r="E37" s="2" t="e">
        <f>E35+E36-E34</f>
        <v>#REF!</v>
      </c>
      <c r="F37" s="2" t="e">
        <f>F35+F36-F34</f>
        <v>#REF!</v>
      </c>
      <c r="G37" s="2" t="e">
        <f>G35+G36-G34</f>
        <v>#REF!</v>
      </c>
      <c r="H37" s="2" t="e">
        <f>H35+H36-H34</f>
        <v>#REF!</v>
      </c>
      <c r="I37" s="2"/>
    </row>
    <row r="38" spans="4:9" ht="30.75" customHeight="1" hidden="1">
      <c r="D38" s="2" t="e">
        <f>IF(H37&gt;0,99,IF(G37&gt;0,4+(H32+H33)/H31,IF(F37&gt;0,3+(G32+G33)/G31,IF(E37&gt;0,2+(F32+F33)/F31,IF(D37&gt;0,1+(E32+E33)/E31,(D32+D33)/D31)))))</f>
        <v>#REF!</v>
      </c>
      <c r="E38" s="2" t="e">
        <f>IF(CEILING(12*(D38-INT(D38)),1)=12,INT(D38)+1,INT(D38))</f>
        <v>#REF!</v>
      </c>
      <c r="F38" s="2" t="e">
        <f>IF(CEILING(12*(D38-INT(D38)),1)=12,0,CEILING(12*(D38-INT(D38)),1))</f>
        <v>#REF!</v>
      </c>
      <c r="G38" s="2"/>
      <c r="H38" s="2"/>
      <c r="I38" s="2"/>
    </row>
    <row r="39" spans="5:9" ht="30.75" customHeight="1" hidden="1">
      <c r="E39" s="2" t="e">
        <f>IF(E38=99,"Greater than 5 Years",IF(E38=1," Year"," Years"))</f>
        <v>#REF!</v>
      </c>
      <c r="F39" s="2" t="e">
        <f>IF(F38=1," Month"," Months")</f>
        <v>#REF!</v>
      </c>
      <c r="G39" s="2"/>
      <c r="H39" s="2"/>
      <c r="I39" s="2"/>
    </row>
    <row r="40" ht="30.75" customHeight="1" hidden="1"/>
    <row r="41" ht="30.75" customHeight="1" hidden="1"/>
    <row r="42" ht="30.75" customHeight="1" hidden="1"/>
    <row r="43" ht="30.75" customHeight="1" hidden="1"/>
    <row r="44" ht="30.75" customHeight="1"/>
  </sheetData>
  <sheetProtection/>
  <mergeCells count="19">
    <mergeCell ref="B27:H27"/>
    <mergeCell ref="B28:E28"/>
    <mergeCell ref="B30:F30"/>
    <mergeCell ref="A4:H4"/>
    <mergeCell ref="A13:A15"/>
    <mergeCell ref="A18:A20"/>
    <mergeCell ref="A23:A25"/>
    <mergeCell ref="A8:B8"/>
    <mergeCell ref="E8:H8"/>
    <mergeCell ref="A9:B9"/>
    <mergeCell ref="A2:H2"/>
    <mergeCell ref="A3:H3"/>
    <mergeCell ref="A5:B5"/>
    <mergeCell ref="E5:H5"/>
    <mergeCell ref="E9:H9"/>
    <mergeCell ref="A6:B6"/>
    <mergeCell ref="E6:H6"/>
    <mergeCell ref="A7:B7"/>
    <mergeCell ref="E7:H7"/>
  </mergeCells>
  <printOptions horizontalCentered="1"/>
  <pageMargins left="0.5118110236220472" right="0.5118110236220472" top="0.984251968503937" bottom="0.984251968503937" header="0.5118110236220472" footer="0.5118110236220472"/>
  <pageSetup firstPageNumber="1" useFirstPageNumber="1" fitToHeight="0" horizontalDpi="300" verticalDpi="300" orientation="portrait" paperSize="9" scale="67" r:id="rId1"/>
  <headerFooter alignWithMargins="0">
    <oddHeader>&amp;L&amp;"Bitstream Vera Serif,Regular"&amp;18Cost Comparison Model&amp;R&amp;"Bitstream Vera Serif,Regular"&amp;18Summary</oddHeader>
    <oddFooter>&amp;C&amp;"Bitstream Vera Serif,Regular"&amp;12Page &amp;P of &amp;N</oddFooter>
  </headerFooter>
  <rowBreaks count="1" manualBreakCount="1">
    <brk id="30" max="255" man="1"/>
  </rowBreaks>
  <colBreaks count="2" manualBreakCount="2">
    <brk id="8" max="65535" man="1"/>
    <brk id="16" max="65535" man="1"/>
  </colBreaks>
</worksheet>
</file>

<file path=xl/worksheets/sheet2.xml><?xml version="1.0" encoding="utf-8"?>
<worksheet xmlns="http://schemas.openxmlformats.org/spreadsheetml/2006/main" xmlns:r="http://schemas.openxmlformats.org/officeDocument/2006/relationships">
  <dimension ref="A1:R190"/>
  <sheetViews>
    <sheetView zoomScalePageLayoutView="0" workbookViewId="0" topLeftCell="A1">
      <selection activeCell="K13" sqref="K13"/>
    </sheetView>
  </sheetViews>
  <sheetFormatPr defaultColWidth="12.57421875" defaultRowHeight="12"/>
  <cols>
    <col min="1" max="1" width="8.421875" style="17" customWidth="1"/>
    <col min="2" max="2" width="15.421875" style="17" customWidth="1"/>
    <col min="3" max="3" width="11.421875" style="17" customWidth="1"/>
    <col min="4" max="4" width="8.8515625" style="17" customWidth="1"/>
    <col min="5" max="5" width="11.421875" style="17" customWidth="1"/>
    <col min="6" max="6" width="9.140625" style="17" customWidth="1"/>
    <col min="7" max="7" width="11.8515625" style="17" customWidth="1"/>
    <col min="8" max="11" width="11.421875" style="17" customWidth="1"/>
    <col min="12" max="15" width="12.7109375" style="17" customWidth="1"/>
    <col min="16" max="16" width="37.8515625" style="17" customWidth="1"/>
    <col min="17" max="16384" width="12.57421875" style="17" customWidth="1"/>
  </cols>
  <sheetData>
    <row r="1" spans="1:11" s="3" customFormat="1" ht="22.5" customHeight="1">
      <c r="A1" s="242" t="s">
        <v>89</v>
      </c>
      <c r="B1" s="243"/>
      <c r="C1" s="243"/>
      <c r="D1" s="243"/>
      <c r="E1" s="243"/>
      <c r="F1" s="243"/>
      <c r="G1" s="243"/>
      <c r="H1" s="243"/>
      <c r="I1" s="244"/>
      <c r="J1" s="1"/>
      <c r="K1" s="2"/>
    </row>
    <row r="2" spans="1:11" s="3" customFormat="1" ht="20.25" customHeight="1" thickBot="1">
      <c r="A2" s="158" t="s">
        <v>24</v>
      </c>
      <c r="B2" s="159"/>
      <c r="C2" s="159"/>
      <c r="D2" s="159"/>
      <c r="E2" s="159"/>
      <c r="F2" s="159"/>
      <c r="G2" s="159"/>
      <c r="H2" s="159"/>
      <c r="I2" s="159"/>
      <c r="J2" s="2"/>
      <c r="K2" s="2"/>
    </row>
    <row r="3" spans="1:11" s="3" customFormat="1" ht="30.75" customHeight="1" thickBot="1">
      <c r="A3" s="172" t="s">
        <v>25</v>
      </c>
      <c r="B3" s="4"/>
      <c r="C3" s="4"/>
      <c r="D3" s="4"/>
      <c r="E3" s="173" t="s">
        <v>26</v>
      </c>
      <c r="F3" s="173"/>
      <c r="G3" s="173"/>
      <c r="H3" s="173"/>
      <c r="I3" s="173"/>
      <c r="J3" s="2"/>
      <c r="K3" s="2"/>
    </row>
    <row r="4" spans="1:11" s="3" customFormat="1" ht="30.75" customHeight="1" thickBot="1">
      <c r="A4" s="172"/>
      <c r="B4" s="174" t="s">
        <v>90</v>
      </c>
      <c r="C4" s="174"/>
      <c r="D4" s="1"/>
      <c r="E4" s="174" t="s">
        <v>27</v>
      </c>
      <c r="F4" s="2"/>
      <c r="G4" s="174" t="s">
        <v>28</v>
      </c>
      <c r="H4" s="174" t="s">
        <v>29</v>
      </c>
      <c r="I4" s="175" t="s">
        <v>30</v>
      </c>
      <c r="J4" s="2"/>
      <c r="K4" s="2"/>
    </row>
    <row r="5" spans="1:11" s="3" customFormat="1" ht="30.75" customHeight="1" thickBot="1">
      <c r="A5" s="92">
        <f>Notes!A10</f>
        <v>7</v>
      </c>
      <c r="B5" s="93" t="s">
        <v>31</v>
      </c>
      <c r="C5" s="6">
        <v>3</v>
      </c>
      <c r="D5" s="94"/>
      <c r="E5" s="174"/>
      <c r="F5" s="2"/>
      <c r="G5" s="174"/>
      <c r="H5" s="174"/>
      <c r="I5" s="175"/>
      <c r="J5" s="2"/>
      <c r="K5" s="2"/>
    </row>
    <row r="6" spans="1:11" s="3" customFormat="1" ht="30.75" customHeight="1" thickBot="1">
      <c r="A6" s="92">
        <f>Notes!A11</f>
        <v>8</v>
      </c>
      <c r="B6" s="95" t="s">
        <v>32</v>
      </c>
      <c r="C6" s="21">
        <v>4</v>
      </c>
      <c r="D6" s="94"/>
      <c r="E6" s="8">
        <f>D123*C6/Variables!C21/Variables!C22</f>
        <v>48.07692307692308</v>
      </c>
      <c r="F6" s="2"/>
      <c r="G6" s="96"/>
      <c r="H6" s="96"/>
      <c r="I6" s="96"/>
      <c r="J6" s="2"/>
      <c r="K6" s="2"/>
    </row>
    <row r="7" spans="1:11" s="3" customFormat="1" ht="30.75" customHeight="1">
      <c r="A7" s="97">
        <f>Notes!A12</f>
        <v>9</v>
      </c>
      <c r="B7" s="166" t="s">
        <v>13</v>
      </c>
      <c r="C7" s="166"/>
      <c r="D7" s="98"/>
      <c r="E7" s="9">
        <f>VLOOKUP(C5,desktops,2)</f>
        <v>850</v>
      </c>
      <c r="F7" s="2"/>
      <c r="G7" s="9">
        <f>VLOOKUP(C5,desktops,3)</f>
        <v>125</v>
      </c>
      <c r="H7" s="10">
        <f>D123*VLOOKUP(C5,desktops,4)/Variables!C21/Variables!C22</f>
        <v>60.09615384615385</v>
      </c>
      <c r="I7" s="9">
        <f>SUM(G7:H7)</f>
        <v>185.09615384615384</v>
      </c>
      <c r="J7" s="2"/>
      <c r="K7" s="2"/>
    </row>
    <row r="8" spans="1:11" s="3" customFormat="1" ht="30.75" customHeight="1">
      <c r="A8" s="99">
        <f>Notes!A13</f>
        <v>10</v>
      </c>
      <c r="B8" s="176" t="s">
        <v>33</v>
      </c>
      <c r="C8" s="176"/>
      <c r="D8" s="98"/>
      <c r="E8" s="9">
        <f>D150</f>
        <v>100</v>
      </c>
      <c r="F8" s="2"/>
      <c r="G8" s="9">
        <f>E150+F150</f>
        <v>10</v>
      </c>
      <c r="H8" s="10">
        <f>D123*G150/Variables!C21/Variables!C22</f>
        <v>24.03846153846154</v>
      </c>
      <c r="I8" s="9">
        <f>SUM(G8:H8)</f>
        <v>34.03846153846154</v>
      </c>
      <c r="J8" s="2"/>
      <c r="K8" s="2"/>
    </row>
    <row r="9" spans="1:18" s="12" customFormat="1" ht="30.75" customHeight="1">
      <c r="A9" s="99">
        <f>Notes!A13</f>
        <v>10</v>
      </c>
      <c r="B9" s="176" t="s">
        <v>78</v>
      </c>
      <c r="C9" s="176"/>
      <c r="D9" s="98"/>
      <c r="E9" s="9">
        <f>D151</f>
        <v>250</v>
      </c>
      <c r="F9" s="11"/>
      <c r="G9" s="9">
        <f>E151+F151</f>
        <v>30</v>
      </c>
      <c r="H9" s="10">
        <f>D123*G151/Variables!C21/Variables!C22</f>
        <v>144.23076923076923</v>
      </c>
      <c r="I9" s="9">
        <f>SUM(G9:H9)</f>
        <v>174.23076923076923</v>
      </c>
      <c r="J9" s="11"/>
      <c r="K9" s="11"/>
      <c r="R9" s="3"/>
    </row>
    <row r="10" spans="1:18" s="12" customFormat="1" ht="30.75" customHeight="1">
      <c r="A10" s="99">
        <f>Notes!A13</f>
        <v>10</v>
      </c>
      <c r="B10" s="176" t="s">
        <v>34</v>
      </c>
      <c r="C10" s="176"/>
      <c r="D10" s="100"/>
      <c r="E10" s="9">
        <f>D156</f>
        <v>0</v>
      </c>
      <c r="F10" s="100"/>
      <c r="G10" s="9">
        <f>E156+F156</f>
        <v>0</v>
      </c>
      <c r="H10" s="10">
        <f>D123*G156/Variables!C21/Variables!C22</f>
        <v>0</v>
      </c>
      <c r="I10" s="9">
        <f>SUM(G10:H10)</f>
        <v>0</v>
      </c>
      <c r="J10" s="11"/>
      <c r="K10" s="11"/>
      <c r="R10" s="3"/>
    </row>
    <row r="11" spans="1:11" s="3" customFormat="1" ht="30.75" customHeight="1">
      <c r="A11" s="92">
        <f>Notes!A13</f>
        <v>10</v>
      </c>
      <c r="B11" s="177" t="s">
        <v>35</v>
      </c>
      <c r="C11" s="177"/>
      <c r="D11" s="98"/>
      <c r="E11" s="14">
        <f>D163</f>
        <v>20</v>
      </c>
      <c r="F11" s="2"/>
      <c r="G11" s="14">
        <f>E163+F163</f>
        <v>6</v>
      </c>
      <c r="H11" s="22">
        <f>D123*G163/Variables!C21/Variables!C22</f>
        <v>901.4423076923077</v>
      </c>
      <c r="I11" s="14">
        <f>SUM(G11:H11)</f>
        <v>907.4423076923077</v>
      </c>
      <c r="J11" s="2"/>
      <c r="K11" s="2"/>
    </row>
    <row r="12" spans="1:11" s="3" customFormat="1" ht="30.75" customHeight="1" thickBot="1">
      <c r="A12" s="83"/>
      <c r="B12" s="173" t="s">
        <v>36</v>
      </c>
      <c r="C12" s="173"/>
      <c r="D12" s="101"/>
      <c r="E12" s="15">
        <f>SUM(E6:E11)</f>
        <v>1268.076923076923</v>
      </c>
      <c r="F12" s="2"/>
      <c r="G12" s="16"/>
      <c r="H12" s="1"/>
      <c r="I12" s="15">
        <f>SUM(I7:I11)</f>
        <v>1300.8076923076924</v>
      </c>
      <c r="J12" s="2"/>
      <c r="K12" s="2"/>
    </row>
    <row r="13" spans="1:11" s="106" customFormat="1" ht="30.75" customHeight="1">
      <c r="A13" s="83"/>
      <c r="B13" s="102"/>
      <c r="C13" s="102"/>
      <c r="D13" s="103"/>
      <c r="E13" s="19"/>
      <c r="F13" s="20"/>
      <c r="G13" s="104"/>
      <c r="H13" s="105"/>
      <c r="I13" s="19"/>
      <c r="J13" s="20"/>
      <c r="K13" s="20"/>
    </row>
    <row r="14" spans="1:11" ht="30.75" customHeight="1" thickBot="1">
      <c r="A14" s="2"/>
      <c r="B14" s="2"/>
      <c r="C14" s="2"/>
      <c r="D14" s="2"/>
      <c r="E14" s="2"/>
      <c r="F14" s="2"/>
      <c r="G14" s="2"/>
      <c r="H14" s="2"/>
      <c r="I14" s="2"/>
      <c r="J14" s="2"/>
      <c r="K14" s="2"/>
    </row>
    <row r="15" spans="1:11" ht="37.5" customHeight="1">
      <c r="A15" s="97">
        <f>Notes!A22</f>
        <v>19</v>
      </c>
      <c r="B15" s="178" t="s">
        <v>91</v>
      </c>
      <c r="C15" s="178"/>
      <c r="D15" s="178"/>
      <c r="E15" s="23">
        <v>2</v>
      </c>
      <c r="F15" s="2"/>
      <c r="G15" s="179" t="s">
        <v>92</v>
      </c>
      <c r="H15" s="179"/>
      <c r="I15" s="179"/>
      <c r="J15" s="2"/>
      <c r="K15" s="2"/>
    </row>
    <row r="16" spans="1:11" ht="30.75" customHeight="1">
      <c r="A16" s="2"/>
      <c r="B16" s="2"/>
      <c r="C16" s="2"/>
      <c r="D16" s="2"/>
      <c r="E16" s="2"/>
      <c r="F16" s="2"/>
      <c r="G16" s="2"/>
      <c r="H16" s="2"/>
      <c r="I16" s="2"/>
      <c r="J16" s="2"/>
      <c r="K16" s="2"/>
    </row>
    <row r="17" spans="1:11" ht="30.75" customHeight="1" thickBot="1">
      <c r="A17" s="2"/>
      <c r="B17" s="2"/>
      <c r="C17" s="2"/>
      <c r="D17" s="2"/>
      <c r="E17" s="2"/>
      <c r="F17" s="2"/>
      <c r="G17" s="2"/>
      <c r="H17" s="2"/>
      <c r="I17" s="2"/>
      <c r="J17" s="2"/>
      <c r="K17" s="2"/>
    </row>
    <row r="18" spans="1:11" ht="30.75" customHeight="1" thickBot="1">
      <c r="A18" s="2"/>
      <c r="B18" s="2"/>
      <c r="C18" s="2"/>
      <c r="D18" s="2"/>
      <c r="E18" s="173" t="s">
        <v>26</v>
      </c>
      <c r="F18" s="173"/>
      <c r="G18" s="173"/>
      <c r="H18" s="173"/>
      <c r="I18" s="173"/>
      <c r="J18" s="2"/>
      <c r="K18" s="2"/>
    </row>
    <row r="19" spans="1:11" s="3" customFormat="1" ht="30.75" customHeight="1">
      <c r="A19" s="2"/>
      <c r="B19" s="174" t="s">
        <v>93</v>
      </c>
      <c r="C19" s="174"/>
      <c r="D19" s="1"/>
      <c r="E19" s="174" t="s">
        <v>27</v>
      </c>
      <c r="F19" s="2"/>
      <c r="G19" s="174" t="s">
        <v>28</v>
      </c>
      <c r="H19" s="174" t="s">
        <v>29</v>
      </c>
      <c r="I19" s="175" t="s">
        <v>30</v>
      </c>
      <c r="J19" s="2"/>
      <c r="K19" s="2"/>
    </row>
    <row r="20" spans="1:11" s="3" customFormat="1" ht="30.75" customHeight="1">
      <c r="A20" s="97">
        <f>Notes!A10</f>
        <v>7</v>
      </c>
      <c r="B20" s="5" t="s">
        <v>31</v>
      </c>
      <c r="C20" s="6">
        <v>4</v>
      </c>
      <c r="D20" s="94"/>
      <c r="E20" s="174"/>
      <c r="F20" s="2"/>
      <c r="G20" s="174"/>
      <c r="H20" s="174"/>
      <c r="I20" s="175"/>
      <c r="J20" s="2"/>
      <c r="K20" s="2"/>
    </row>
    <row r="21" spans="1:11" s="3" customFormat="1" ht="30.75" customHeight="1">
      <c r="A21" s="92">
        <f>Notes!A11</f>
        <v>8</v>
      </c>
      <c r="B21" s="7" t="s">
        <v>32</v>
      </c>
      <c r="C21" s="21">
        <v>4</v>
      </c>
      <c r="D21" s="94"/>
      <c r="E21" s="8">
        <f>D123*C21/Variables!C21/Variables!C22</f>
        <v>48.07692307692308</v>
      </c>
      <c r="F21" s="2"/>
      <c r="G21" s="96"/>
      <c r="H21" s="96"/>
      <c r="I21" s="96"/>
      <c r="J21" s="2"/>
      <c r="K21" s="2"/>
    </row>
    <row r="22" spans="1:11" s="3" customFormat="1" ht="30.75" customHeight="1">
      <c r="A22" s="97">
        <f>Notes!A12</f>
        <v>9</v>
      </c>
      <c r="B22" s="166" t="s">
        <v>13</v>
      </c>
      <c r="C22" s="166"/>
      <c r="D22" s="98"/>
      <c r="E22" s="9">
        <f>VLOOKUP(C20,desktops,2)</f>
        <v>950</v>
      </c>
      <c r="F22" s="2"/>
      <c r="G22" s="9">
        <f>VLOOKUP(C20,desktops,3)</f>
        <v>140</v>
      </c>
      <c r="H22" s="10">
        <f>D123*VLOOKUP(C20,desktops,4)/Variables!C21/Variables!C22</f>
        <v>60.09615384615385</v>
      </c>
      <c r="I22" s="9">
        <f>SUM(G22:H22)</f>
        <v>200.09615384615384</v>
      </c>
      <c r="J22" s="2"/>
      <c r="K22" s="2"/>
    </row>
    <row r="23" spans="1:11" s="3" customFormat="1" ht="30.75" customHeight="1">
      <c r="A23" s="99">
        <f>Notes!A13</f>
        <v>10</v>
      </c>
      <c r="B23" s="176" t="s">
        <v>33</v>
      </c>
      <c r="C23" s="176"/>
      <c r="D23" s="98"/>
      <c r="E23" s="9">
        <f>H150</f>
        <v>100</v>
      </c>
      <c r="F23" s="2"/>
      <c r="G23" s="9">
        <f>I150+J150</f>
        <v>10</v>
      </c>
      <c r="H23" s="10">
        <f>D123*K150/Variables!C21/Variables!C22</f>
        <v>24.03846153846154</v>
      </c>
      <c r="I23" s="9">
        <f>SUM(G23:H23)</f>
        <v>34.03846153846154</v>
      </c>
      <c r="J23" s="2"/>
      <c r="K23" s="2"/>
    </row>
    <row r="24" spans="1:18" s="12" customFormat="1" ht="30.75" customHeight="1">
      <c r="A24" s="99">
        <f>Notes!A13</f>
        <v>10</v>
      </c>
      <c r="B24" s="176" t="s">
        <v>78</v>
      </c>
      <c r="C24" s="176"/>
      <c r="D24" s="98"/>
      <c r="E24" s="9">
        <f>H151</f>
        <v>250</v>
      </c>
      <c r="F24" s="11"/>
      <c r="G24" s="9">
        <f>I151+J151</f>
        <v>30</v>
      </c>
      <c r="H24" s="10">
        <f>D123*K151/Variables!C21/Variables!C22</f>
        <v>144.23076923076923</v>
      </c>
      <c r="I24" s="9">
        <f>SUM(G24:H24)</f>
        <v>174.23076923076923</v>
      </c>
      <c r="J24" s="11"/>
      <c r="K24" s="11"/>
      <c r="R24" s="3"/>
    </row>
    <row r="25" spans="1:18" s="12" customFormat="1" ht="30.75" customHeight="1">
      <c r="A25" s="99">
        <f>Notes!A13</f>
        <v>10</v>
      </c>
      <c r="B25" s="176" t="s">
        <v>34</v>
      </c>
      <c r="C25" s="176"/>
      <c r="D25" s="100"/>
      <c r="E25" s="9">
        <f>D156</f>
        <v>0</v>
      </c>
      <c r="F25" s="100"/>
      <c r="G25" s="9">
        <f>I156+J156</f>
        <v>0</v>
      </c>
      <c r="H25" s="10">
        <f>D123*K156/Variables!C21/Variables!C22</f>
        <v>0</v>
      </c>
      <c r="I25" s="9">
        <f>SUM(G25:H25)</f>
        <v>0</v>
      </c>
      <c r="J25" s="11"/>
      <c r="K25" s="11"/>
      <c r="R25" s="3"/>
    </row>
    <row r="26" spans="1:11" s="3" customFormat="1" ht="30.75" customHeight="1">
      <c r="A26" s="92">
        <f>Notes!A13</f>
        <v>10</v>
      </c>
      <c r="B26" s="177" t="s">
        <v>35</v>
      </c>
      <c r="C26" s="177"/>
      <c r="D26" s="98"/>
      <c r="E26" s="14">
        <f>H163</f>
        <v>20</v>
      </c>
      <c r="F26" s="2"/>
      <c r="G26" s="14">
        <f>L163+J163</f>
        <v>0</v>
      </c>
      <c r="H26" s="22">
        <f>D123*K163/Variables!C21/Variables!C22</f>
        <v>901.4423076923077</v>
      </c>
      <c r="I26" s="14">
        <f>SUM(G26:H26)</f>
        <v>901.4423076923077</v>
      </c>
      <c r="J26" s="2"/>
      <c r="K26" s="2"/>
    </row>
    <row r="27" spans="1:13" s="3" customFormat="1" ht="30.75" customHeight="1">
      <c r="A27" s="83"/>
      <c r="B27" s="173" t="s">
        <v>36</v>
      </c>
      <c r="C27" s="173"/>
      <c r="D27" s="101"/>
      <c r="E27" s="15">
        <f>SUM(E21:E26)</f>
        <v>1368.076923076923</v>
      </c>
      <c r="F27" s="2"/>
      <c r="G27" s="16"/>
      <c r="H27" s="1"/>
      <c r="I27" s="15">
        <f>SUM(I22:I26)</f>
        <v>1309.8076923076924</v>
      </c>
      <c r="J27" s="2"/>
      <c r="K27" s="1"/>
      <c r="L27" s="13"/>
      <c r="M27" s="13"/>
    </row>
    <row r="28" spans="1:11" ht="30.75" customHeight="1">
      <c r="A28" s="2"/>
      <c r="B28" s="2"/>
      <c r="C28" s="2"/>
      <c r="D28" s="2"/>
      <c r="E28" s="2"/>
      <c r="F28" s="2"/>
      <c r="G28" s="2"/>
      <c r="H28" s="2"/>
      <c r="I28" s="2"/>
      <c r="J28" s="2"/>
      <c r="K28" s="2"/>
    </row>
    <row r="29" spans="1:11" ht="30.75" customHeight="1" thickBot="1">
      <c r="A29" s="2"/>
      <c r="B29" s="2"/>
      <c r="C29" s="2"/>
      <c r="D29" s="2"/>
      <c r="E29" s="2"/>
      <c r="F29" s="2"/>
      <c r="G29" s="2"/>
      <c r="H29" s="2"/>
      <c r="I29" s="2"/>
      <c r="J29" s="2"/>
      <c r="K29" s="2"/>
    </row>
    <row r="30" spans="1:11" ht="30.75" customHeight="1" thickBot="1">
      <c r="A30" s="2"/>
      <c r="B30" s="180" t="s">
        <v>37</v>
      </c>
      <c r="C30" s="180"/>
      <c r="D30" s="167" t="s">
        <v>90</v>
      </c>
      <c r="E30" s="167"/>
      <c r="F30" s="167" t="s">
        <v>93</v>
      </c>
      <c r="G30" s="167"/>
      <c r="H30" s="2"/>
      <c r="I30" s="2"/>
      <c r="J30" s="2"/>
      <c r="K30" s="2"/>
    </row>
    <row r="31" spans="1:11" ht="30.75" customHeight="1">
      <c r="A31" s="2"/>
      <c r="B31" s="181" t="s">
        <v>38</v>
      </c>
      <c r="C31" s="181"/>
      <c r="D31" s="69" t="s">
        <v>27</v>
      </c>
      <c r="E31" s="69" t="s">
        <v>39</v>
      </c>
      <c r="F31" s="69" t="s">
        <v>27</v>
      </c>
      <c r="G31" s="69" t="s">
        <v>39</v>
      </c>
      <c r="H31" s="2"/>
      <c r="I31" s="2"/>
      <c r="J31" s="2"/>
      <c r="K31" s="2"/>
    </row>
    <row r="32" spans="1:11" ht="30.75" customHeight="1">
      <c r="A32" s="2"/>
      <c r="B32" s="182" t="s">
        <v>40</v>
      </c>
      <c r="C32" s="182"/>
      <c r="D32" s="18">
        <f>E7</f>
        <v>850</v>
      </c>
      <c r="E32" s="18">
        <f>G7</f>
        <v>125</v>
      </c>
      <c r="F32" s="18">
        <f>E22</f>
        <v>950</v>
      </c>
      <c r="G32" s="18">
        <f>G22</f>
        <v>140</v>
      </c>
      <c r="H32" s="2"/>
      <c r="I32" s="2"/>
      <c r="J32" s="2"/>
      <c r="K32" s="2"/>
    </row>
    <row r="33" spans="1:11" ht="30.75" customHeight="1">
      <c r="A33" s="2"/>
      <c r="B33" s="183" t="s">
        <v>41</v>
      </c>
      <c r="C33" s="183"/>
      <c r="D33" s="10">
        <f>SUM(E8:E11)</f>
        <v>370</v>
      </c>
      <c r="E33" s="10">
        <f>SUM(G8:G11)</f>
        <v>46</v>
      </c>
      <c r="F33" s="10">
        <f>SUM(E23:E26)</f>
        <v>370</v>
      </c>
      <c r="G33" s="10">
        <f>SUM(G23:G26)</f>
        <v>40</v>
      </c>
      <c r="H33" s="2"/>
      <c r="I33" s="2"/>
      <c r="J33" s="2"/>
      <c r="K33" s="2"/>
    </row>
    <row r="34" spans="1:11" ht="30.75" customHeight="1">
      <c r="A34" s="2"/>
      <c r="B34" s="184" t="s">
        <v>42</v>
      </c>
      <c r="C34" s="184"/>
      <c r="D34" s="14">
        <f>E6</f>
        <v>48.07692307692308</v>
      </c>
      <c r="E34" s="14">
        <f>SUM(H7:H11)</f>
        <v>1129.8076923076924</v>
      </c>
      <c r="F34" s="14">
        <f>E21</f>
        <v>48.07692307692308</v>
      </c>
      <c r="G34" s="14">
        <f>SUM(H22:H26)</f>
        <v>1129.8076923076924</v>
      </c>
      <c r="H34" s="2"/>
      <c r="I34" s="2"/>
      <c r="J34" s="2"/>
      <c r="K34" s="2"/>
    </row>
    <row r="35" spans="1:13" s="3" customFormat="1" ht="30.75" customHeight="1">
      <c r="A35" s="83"/>
      <c r="B35" s="173" t="s">
        <v>36</v>
      </c>
      <c r="C35" s="173"/>
      <c r="D35" s="15">
        <f>SUM(D32:D34)</f>
        <v>1268.076923076923</v>
      </c>
      <c r="E35" s="15">
        <f>SUM(E32:E34)</f>
        <v>1300.8076923076924</v>
      </c>
      <c r="F35" s="15">
        <f>SUM(F32:F34)</f>
        <v>1368.076923076923</v>
      </c>
      <c r="G35" s="15">
        <f>SUM(G32:G34)</f>
        <v>1309.8076923076924</v>
      </c>
      <c r="H35" s="16"/>
      <c r="I35" s="1"/>
      <c r="J35" s="1"/>
      <c r="K35" s="1"/>
      <c r="L35" s="13"/>
      <c r="M35" s="13"/>
    </row>
    <row r="36" spans="1:13" s="3" customFormat="1" ht="30.75" customHeight="1">
      <c r="A36" s="107" t="s">
        <v>43</v>
      </c>
      <c r="B36" s="2"/>
      <c r="C36" s="2"/>
      <c r="D36" s="2"/>
      <c r="E36" s="2"/>
      <c r="F36" s="16"/>
      <c r="G36" s="16"/>
      <c r="H36" s="16"/>
      <c r="I36" s="1"/>
      <c r="J36" s="1"/>
      <c r="K36" s="1"/>
      <c r="L36" s="13"/>
      <c r="M36" s="13"/>
    </row>
    <row r="37" spans="1:13" s="3" customFormat="1" ht="30.75" customHeight="1">
      <c r="A37" s="2"/>
      <c r="B37" s="2"/>
      <c r="C37" s="2"/>
      <c r="D37" s="2"/>
      <c r="E37" s="2"/>
      <c r="F37" s="16"/>
      <c r="G37" s="16"/>
      <c r="H37" s="16"/>
      <c r="I37" s="1"/>
      <c r="J37" s="1"/>
      <c r="K37" s="1"/>
      <c r="L37" s="13"/>
      <c r="M37" s="13"/>
    </row>
    <row r="38" spans="1:13" s="3" customFormat="1" ht="30.75" customHeight="1">
      <c r="A38" s="172" t="s">
        <v>25</v>
      </c>
      <c r="B38" s="108"/>
      <c r="C38" s="108"/>
      <c r="D38" s="101"/>
      <c r="E38" s="173" t="s">
        <v>26</v>
      </c>
      <c r="F38" s="173"/>
      <c r="G38" s="173"/>
      <c r="H38" s="173"/>
      <c r="I38" s="173"/>
      <c r="J38" s="1"/>
      <c r="K38" s="1"/>
      <c r="L38" s="13"/>
      <c r="M38" s="13"/>
    </row>
    <row r="39" spans="1:13" s="3" customFormat="1" ht="30.75" customHeight="1">
      <c r="A39" s="172"/>
      <c r="B39" s="174" t="s">
        <v>90</v>
      </c>
      <c r="C39" s="174"/>
      <c r="D39" s="1"/>
      <c r="E39" s="174" t="s">
        <v>27</v>
      </c>
      <c r="F39" s="2"/>
      <c r="G39" s="174" t="s">
        <v>28</v>
      </c>
      <c r="H39" s="174" t="s">
        <v>29</v>
      </c>
      <c r="I39" s="175" t="s">
        <v>30</v>
      </c>
      <c r="J39" s="2"/>
      <c r="K39" s="1"/>
      <c r="L39" s="13"/>
      <c r="M39" s="13"/>
    </row>
    <row r="40" spans="1:13" s="3" customFormat="1" ht="30.75" customHeight="1">
      <c r="A40" s="97">
        <f>Notes!A10</f>
        <v>7</v>
      </c>
      <c r="B40" s="5" t="s">
        <v>31</v>
      </c>
      <c r="C40" s="6">
        <v>5</v>
      </c>
      <c r="D40" s="94"/>
      <c r="E40" s="174"/>
      <c r="F40" s="2"/>
      <c r="G40" s="174"/>
      <c r="H40" s="174"/>
      <c r="I40" s="175"/>
      <c r="J40" s="2"/>
      <c r="K40" s="1"/>
      <c r="L40" s="13"/>
      <c r="M40" s="13"/>
    </row>
    <row r="41" spans="1:13" s="3" customFormat="1" ht="30.75" customHeight="1">
      <c r="A41" s="92">
        <f>Notes!A11</f>
        <v>8</v>
      </c>
      <c r="B41" s="7" t="s">
        <v>32</v>
      </c>
      <c r="C41" s="21">
        <v>6</v>
      </c>
      <c r="D41" s="94"/>
      <c r="E41" s="8">
        <f>D123*C41/Variables!C21/Variables!C22</f>
        <v>72.11538461538461</v>
      </c>
      <c r="F41" s="2"/>
      <c r="G41" s="96"/>
      <c r="H41" s="96"/>
      <c r="I41" s="96"/>
      <c r="J41" s="2"/>
      <c r="K41" s="1"/>
      <c r="L41" s="13"/>
      <c r="M41" s="13"/>
    </row>
    <row r="42" spans="1:13" s="3" customFormat="1" ht="30.75" customHeight="1">
      <c r="A42" s="97">
        <f>Notes!A12</f>
        <v>9</v>
      </c>
      <c r="B42" s="166" t="s">
        <v>13</v>
      </c>
      <c r="C42" s="166"/>
      <c r="D42" s="98"/>
      <c r="E42" s="9">
        <f>VLOOKUP(C40,desktops,2)</f>
        <v>1035</v>
      </c>
      <c r="F42" s="2"/>
      <c r="G42" s="9">
        <f>VLOOKUP(C40,desktops,3)</f>
        <v>130</v>
      </c>
      <c r="H42" s="10">
        <f>D123*VLOOKUP(C40,desktops,4)/Variables!C21/Variables!C22</f>
        <v>60.09615384615385</v>
      </c>
      <c r="I42" s="9">
        <f aca="true" t="shared" si="0" ref="I42:I48">SUM(G42:H42)</f>
        <v>190.09615384615384</v>
      </c>
      <c r="J42" s="2"/>
      <c r="K42" s="1"/>
      <c r="L42" s="13"/>
      <c r="M42" s="13"/>
    </row>
    <row r="43" spans="1:13" s="3" customFormat="1" ht="30.75" customHeight="1">
      <c r="A43" s="99">
        <f>Notes!A13</f>
        <v>10</v>
      </c>
      <c r="B43" s="176" t="s">
        <v>33</v>
      </c>
      <c r="C43" s="176"/>
      <c r="D43" s="98"/>
      <c r="E43" s="9">
        <f>D150</f>
        <v>100</v>
      </c>
      <c r="F43" s="2"/>
      <c r="G43" s="9">
        <f>E150+F150</f>
        <v>10</v>
      </c>
      <c r="H43" s="10">
        <f>D123*G150/Variables!C21/Variables!C22</f>
        <v>24.03846153846154</v>
      </c>
      <c r="I43" s="9">
        <f t="shared" si="0"/>
        <v>34.03846153846154</v>
      </c>
      <c r="J43" s="2"/>
      <c r="K43" s="1"/>
      <c r="L43" s="13"/>
      <c r="M43" s="13"/>
    </row>
    <row r="44" spans="1:13" s="3" customFormat="1" ht="30.75" customHeight="1">
      <c r="A44" s="99">
        <f>Notes!A13</f>
        <v>10</v>
      </c>
      <c r="B44" s="176" t="s">
        <v>78</v>
      </c>
      <c r="C44" s="176"/>
      <c r="D44" s="98"/>
      <c r="E44" s="9">
        <f>D151</f>
        <v>250</v>
      </c>
      <c r="F44" s="2"/>
      <c r="G44" s="9">
        <f>E151+F151</f>
        <v>30</v>
      </c>
      <c r="H44" s="10">
        <f>D123*G151/Variables!C21/Variables!C22</f>
        <v>144.23076923076923</v>
      </c>
      <c r="I44" s="9">
        <f t="shared" si="0"/>
        <v>174.23076923076923</v>
      </c>
      <c r="J44" s="2"/>
      <c r="K44" s="1"/>
      <c r="L44" s="13"/>
      <c r="M44" s="13"/>
    </row>
    <row r="45" spans="1:18" s="12" customFormat="1" ht="30.75" customHeight="1">
      <c r="A45" s="99">
        <f>Notes!A13</f>
        <v>10</v>
      </c>
      <c r="B45" s="176" t="s">
        <v>34</v>
      </c>
      <c r="C45" s="176"/>
      <c r="D45" s="100"/>
      <c r="E45" s="9">
        <f>D156</f>
        <v>0</v>
      </c>
      <c r="F45" s="100"/>
      <c r="G45" s="9">
        <f>E156+F156</f>
        <v>0</v>
      </c>
      <c r="H45" s="10">
        <f>D123*G156/Variables!C21/Variables!C22</f>
        <v>0</v>
      </c>
      <c r="I45" s="9">
        <f t="shared" si="0"/>
        <v>0</v>
      </c>
      <c r="J45" s="11"/>
      <c r="K45" s="11"/>
      <c r="R45" s="3"/>
    </row>
    <row r="46" spans="1:13" s="3" customFormat="1" ht="30.75" customHeight="1">
      <c r="A46" s="99">
        <f>Notes!A13</f>
        <v>10</v>
      </c>
      <c r="B46" s="176" t="s">
        <v>35</v>
      </c>
      <c r="C46" s="176"/>
      <c r="D46" s="98"/>
      <c r="E46" s="9">
        <f>D163</f>
        <v>20</v>
      </c>
      <c r="F46" s="2"/>
      <c r="G46" s="9">
        <f>E163+F163</f>
        <v>6</v>
      </c>
      <c r="H46" s="10">
        <f>D123*G163/Variables!C21/Variables!C22</f>
        <v>901.4423076923077</v>
      </c>
      <c r="I46" s="9">
        <f t="shared" si="0"/>
        <v>907.4423076923077</v>
      </c>
      <c r="J46" s="2"/>
      <c r="K46" s="1"/>
      <c r="L46" s="13"/>
      <c r="M46" s="13"/>
    </row>
    <row r="47" spans="1:13" s="3" customFormat="1" ht="30.75" customHeight="1">
      <c r="A47" s="99">
        <f>Notes!A15</f>
        <v>12</v>
      </c>
      <c r="B47" s="176" t="s">
        <v>44</v>
      </c>
      <c r="C47" s="176"/>
      <c r="D47" s="98"/>
      <c r="E47" s="9">
        <f>D164</f>
        <v>200</v>
      </c>
      <c r="F47" s="2"/>
      <c r="G47" s="9">
        <f>E164+F164</f>
        <v>180</v>
      </c>
      <c r="H47" s="10">
        <f>D123*G164/Variables!C21/Variables!C22</f>
        <v>12.01923076923077</v>
      </c>
      <c r="I47" s="9">
        <f t="shared" si="0"/>
        <v>192.01923076923077</v>
      </c>
      <c r="J47" s="2"/>
      <c r="K47" s="1"/>
      <c r="L47" s="13"/>
      <c r="M47" s="13"/>
    </row>
    <row r="48" spans="1:13" s="3" customFormat="1" ht="30.75" customHeight="1">
      <c r="A48" s="92">
        <f>Notes!A16</f>
        <v>13</v>
      </c>
      <c r="B48" s="177" t="s">
        <v>45</v>
      </c>
      <c r="C48" s="177"/>
      <c r="D48" s="98"/>
      <c r="E48" s="14">
        <f>D165</f>
        <v>10</v>
      </c>
      <c r="F48" s="2"/>
      <c r="G48" s="14">
        <f>E165+F165</f>
        <v>5</v>
      </c>
      <c r="H48" s="22">
        <f>D123*G165/Variables!C21/Variables!C22</f>
        <v>12.01923076923077</v>
      </c>
      <c r="I48" s="14">
        <f t="shared" si="0"/>
        <v>17.01923076923077</v>
      </c>
      <c r="J48" s="2"/>
      <c r="K48" s="1"/>
      <c r="L48" s="13"/>
      <c r="M48" s="13"/>
    </row>
    <row r="49" spans="1:13" s="3" customFormat="1" ht="30.75" customHeight="1">
      <c r="A49" s="83"/>
      <c r="B49" s="173" t="s">
        <v>36</v>
      </c>
      <c r="C49" s="173"/>
      <c r="D49" s="101"/>
      <c r="E49" s="15">
        <f>SUM(E41:E48)</f>
        <v>1687.1153846153845</v>
      </c>
      <c r="F49" s="2"/>
      <c r="G49" s="16"/>
      <c r="H49" s="1"/>
      <c r="I49" s="15">
        <f>SUM(I42:I48)</f>
        <v>1514.8461538461538</v>
      </c>
      <c r="J49" s="2"/>
      <c r="K49" s="1"/>
      <c r="L49" s="13"/>
      <c r="M49" s="13"/>
    </row>
    <row r="50" spans="1:13" s="3" customFormat="1" ht="30.75" customHeight="1">
      <c r="A50" s="2"/>
      <c r="B50" s="2"/>
      <c r="C50" s="2"/>
      <c r="D50" s="2"/>
      <c r="E50" s="2"/>
      <c r="F50" s="2"/>
      <c r="G50" s="2"/>
      <c r="H50" s="2"/>
      <c r="I50" s="2"/>
      <c r="J50" s="2"/>
      <c r="K50" s="1"/>
      <c r="L50" s="13"/>
      <c r="M50" s="13"/>
    </row>
    <row r="51" spans="1:13" s="3" customFormat="1" ht="30.75" customHeight="1" thickBot="1">
      <c r="A51" s="2"/>
      <c r="B51" s="2"/>
      <c r="C51" s="2"/>
      <c r="D51" s="2"/>
      <c r="E51" s="2"/>
      <c r="F51" s="2"/>
      <c r="G51" s="2"/>
      <c r="H51" s="2"/>
      <c r="I51" s="2"/>
      <c r="J51" s="2"/>
      <c r="K51" s="1"/>
      <c r="L51" s="13"/>
      <c r="M51" s="13"/>
    </row>
    <row r="52" spans="1:13" s="3" customFormat="1" ht="30.75" customHeight="1" thickBot="1">
      <c r="A52" s="109">
        <f>Notes!A22</f>
        <v>19</v>
      </c>
      <c r="B52" s="185" t="s">
        <v>91</v>
      </c>
      <c r="C52" s="185"/>
      <c r="D52" s="185"/>
      <c r="E52" s="23">
        <v>1</v>
      </c>
      <c r="F52" s="2"/>
      <c r="G52" s="186" t="s">
        <v>92</v>
      </c>
      <c r="H52" s="186"/>
      <c r="I52" s="186"/>
      <c r="J52" s="2"/>
      <c r="K52" s="1"/>
      <c r="L52" s="13"/>
      <c r="M52" s="13"/>
    </row>
    <row r="53" spans="1:13" s="3" customFormat="1" ht="30.75" customHeight="1">
      <c r="A53" s="111"/>
      <c r="B53" s="112"/>
      <c r="C53" s="112"/>
      <c r="D53" s="112"/>
      <c r="E53" s="25"/>
      <c r="F53" s="20"/>
      <c r="G53" s="110"/>
      <c r="H53" s="110"/>
      <c r="I53" s="110"/>
      <c r="J53" s="2"/>
      <c r="K53" s="1"/>
      <c r="L53" s="13"/>
      <c r="M53" s="13"/>
    </row>
    <row r="54" spans="1:13" s="3" customFormat="1" ht="30.75" customHeight="1" thickBot="1">
      <c r="A54" s="2"/>
      <c r="B54" s="2"/>
      <c r="C54" s="2"/>
      <c r="D54" s="2"/>
      <c r="E54" s="2"/>
      <c r="F54" s="2"/>
      <c r="G54" s="2"/>
      <c r="H54" s="2"/>
      <c r="I54" s="2"/>
      <c r="J54" s="2"/>
      <c r="K54" s="1"/>
      <c r="L54" s="13"/>
      <c r="M54" s="13"/>
    </row>
    <row r="55" spans="1:13" s="3" customFormat="1" ht="30.75" customHeight="1">
      <c r="A55" s="2"/>
      <c r="B55" s="2"/>
      <c r="C55" s="2"/>
      <c r="D55" s="2"/>
      <c r="E55" s="173" t="s">
        <v>26</v>
      </c>
      <c r="F55" s="173"/>
      <c r="G55" s="173"/>
      <c r="H55" s="173"/>
      <c r="I55" s="173"/>
      <c r="J55" s="2"/>
      <c r="K55" s="1"/>
      <c r="L55" s="13"/>
      <c r="M55" s="13"/>
    </row>
    <row r="56" spans="1:13" s="3" customFormat="1" ht="30.75" customHeight="1">
      <c r="A56" s="2"/>
      <c r="B56" s="174" t="s">
        <v>93</v>
      </c>
      <c r="C56" s="174"/>
      <c r="D56" s="1"/>
      <c r="E56" s="174" t="s">
        <v>27</v>
      </c>
      <c r="F56" s="2"/>
      <c r="G56" s="174" t="s">
        <v>28</v>
      </c>
      <c r="H56" s="174" t="s">
        <v>29</v>
      </c>
      <c r="I56" s="175" t="s">
        <v>30</v>
      </c>
      <c r="J56" s="2"/>
      <c r="K56" s="1"/>
      <c r="L56" s="13"/>
      <c r="M56" s="13"/>
    </row>
    <row r="57" spans="1:13" s="3" customFormat="1" ht="30.75" customHeight="1">
      <c r="A57" s="97">
        <f>Notes!A10</f>
        <v>7</v>
      </c>
      <c r="B57" s="5" t="s">
        <v>31</v>
      </c>
      <c r="C57" s="6">
        <v>6</v>
      </c>
      <c r="D57" s="94"/>
      <c r="E57" s="174"/>
      <c r="F57" s="2"/>
      <c r="G57" s="174"/>
      <c r="H57" s="174"/>
      <c r="I57" s="175"/>
      <c r="J57" s="2"/>
      <c r="K57" s="1"/>
      <c r="L57" s="13"/>
      <c r="M57" s="13"/>
    </row>
    <row r="58" spans="1:13" s="3" customFormat="1" ht="30.75" customHeight="1">
      <c r="A58" s="92">
        <f>Notes!A11</f>
        <v>8</v>
      </c>
      <c r="B58" s="7" t="s">
        <v>32</v>
      </c>
      <c r="C58" s="21">
        <v>6</v>
      </c>
      <c r="D58" s="94"/>
      <c r="E58" s="8">
        <f>D123*C58/Variables!C21/Variables!C22</f>
        <v>72.11538461538461</v>
      </c>
      <c r="F58" s="2"/>
      <c r="G58" s="96"/>
      <c r="H58" s="96"/>
      <c r="I58" s="96"/>
      <c r="J58" s="2"/>
      <c r="K58" s="1"/>
      <c r="L58" s="13"/>
      <c r="M58" s="13"/>
    </row>
    <row r="59" spans="1:13" s="3" customFormat="1" ht="30.75" customHeight="1">
      <c r="A59" s="97">
        <f>Notes!A12</f>
        <v>9</v>
      </c>
      <c r="B59" s="166" t="s">
        <v>13</v>
      </c>
      <c r="C59" s="166"/>
      <c r="D59" s="98"/>
      <c r="E59" s="9">
        <f>VLOOKUP(C57,desktops,2)</f>
        <v>1135</v>
      </c>
      <c r="F59" s="2"/>
      <c r="G59" s="9">
        <f>VLOOKUP(C57,desktops,3)</f>
        <v>145</v>
      </c>
      <c r="H59" s="10">
        <f>D123*VLOOKUP(C57,desktops,4)/Variables!C21/Variables!C22</f>
        <v>60.09615384615385</v>
      </c>
      <c r="I59" s="9">
        <f aca="true" t="shared" si="1" ref="I59:I65">SUM(G59:H59)</f>
        <v>205.09615384615384</v>
      </c>
      <c r="J59" s="2"/>
      <c r="K59" s="1"/>
      <c r="L59" s="13"/>
      <c r="M59" s="13"/>
    </row>
    <row r="60" spans="1:13" s="3" customFormat="1" ht="30.75" customHeight="1">
      <c r="A60" s="99">
        <f>Notes!A13</f>
        <v>10</v>
      </c>
      <c r="B60" s="176" t="s">
        <v>33</v>
      </c>
      <c r="C60" s="176"/>
      <c r="D60" s="98"/>
      <c r="E60" s="9">
        <f>H150</f>
        <v>100</v>
      </c>
      <c r="F60" s="2"/>
      <c r="G60" s="9">
        <f>I150+J150</f>
        <v>10</v>
      </c>
      <c r="H60" s="10">
        <f>D123*K150/Variables!C21/Variables!C22</f>
        <v>24.03846153846154</v>
      </c>
      <c r="I60" s="9">
        <f t="shared" si="1"/>
        <v>34.03846153846154</v>
      </c>
      <c r="J60" s="2"/>
      <c r="K60" s="1"/>
      <c r="L60" s="13"/>
      <c r="M60" s="13"/>
    </row>
    <row r="61" spans="1:13" s="3" customFormat="1" ht="30.75" customHeight="1">
      <c r="A61" s="99">
        <f>Notes!A13</f>
        <v>10</v>
      </c>
      <c r="B61" s="176" t="s">
        <v>78</v>
      </c>
      <c r="C61" s="176"/>
      <c r="D61" s="98"/>
      <c r="E61" s="9">
        <f>H151</f>
        <v>250</v>
      </c>
      <c r="F61" s="2"/>
      <c r="G61" s="9">
        <f>I151+J151</f>
        <v>30</v>
      </c>
      <c r="H61" s="10">
        <f>D123*K151/Variables!C21/Variables!C22</f>
        <v>144.23076923076923</v>
      </c>
      <c r="I61" s="9">
        <f t="shared" si="1"/>
        <v>174.23076923076923</v>
      </c>
      <c r="J61" s="2"/>
      <c r="K61" s="1"/>
      <c r="L61" s="13"/>
      <c r="M61" s="13"/>
    </row>
    <row r="62" spans="1:18" s="12" customFormat="1" ht="30.75" customHeight="1">
      <c r="A62" s="99">
        <f>Notes!A13</f>
        <v>10</v>
      </c>
      <c r="B62" s="176" t="s">
        <v>34</v>
      </c>
      <c r="C62" s="176"/>
      <c r="D62" s="100"/>
      <c r="E62" s="9">
        <f>H156</f>
        <v>0</v>
      </c>
      <c r="F62" s="100"/>
      <c r="G62" s="9">
        <f>I156+J156</f>
        <v>0</v>
      </c>
      <c r="H62" s="10">
        <f>D123*K156/Variables!C21/Variables!C22</f>
        <v>0</v>
      </c>
      <c r="I62" s="9">
        <f t="shared" si="1"/>
        <v>0</v>
      </c>
      <c r="J62" s="11"/>
      <c r="K62" s="11"/>
      <c r="R62" s="3"/>
    </row>
    <row r="63" spans="1:13" s="3" customFormat="1" ht="30.75" customHeight="1">
      <c r="A63" s="99">
        <f>Notes!A13</f>
        <v>10</v>
      </c>
      <c r="B63" s="176" t="s">
        <v>35</v>
      </c>
      <c r="C63" s="176"/>
      <c r="D63" s="98"/>
      <c r="E63" s="9">
        <f>H163</f>
        <v>20</v>
      </c>
      <c r="F63" s="2"/>
      <c r="G63" s="9">
        <f>I163+J163</f>
        <v>6</v>
      </c>
      <c r="H63" s="10">
        <f>D123*K163/Variables!C21/Variables!C22</f>
        <v>901.4423076923077</v>
      </c>
      <c r="I63" s="9">
        <f t="shared" si="1"/>
        <v>907.4423076923077</v>
      </c>
      <c r="J63" s="2"/>
      <c r="K63" s="1"/>
      <c r="L63" s="13"/>
      <c r="M63" s="13"/>
    </row>
    <row r="64" spans="1:13" s="3" customFormat="1" ht="30.75" customHeight="1">
      <c r="A64" s="99">
        <f>Notes!A15</f>
        <v>12</v>
      </c>
      <c r="B64" s="176" t="s">
        <v>44</v>
      </c>
      <c r="C64" s="176"/>
      <c r="D64" s="98"/>
      <c r="E64" s="9">
        <f>H164</f>
        <v>200</v>
      </c>
      <c r="F64" s="2"/>
      <c r="G64" s="9">
        <f>I164+J164</f>
        <v>180</v>
      </c>
      <c r="H64" s="10">
        <f>D123*K164/Variables!C21/Variables!C22</f>
        <v>12.01923076923077</v>
      </c>
      <c r="I64" s="9">
        <f t="shared" si="1"/>
        <v>192.01923076923077</v>
      </c>
      <c r="J64" s="2"/>
      <c r="K64" s="1"/>
      <c r="L64" s="13"/>
      <c r="M64" s="13"/>
    </row>
    <row r="65" spans="1:13" s="3" customFormat="1" ht="30.75" customHeight="1">
      <c r="A65" s="92">
        <f>Notes!A16</f>
        <v>13</v>
      </c>
      <c r="B65" s="177" t="s">
        <v>45</v>
      </c>
      <c r="C65" s="177"/>
      <c r="D65" s="98"/>
      <c r="E65" s="14">
        <f>H165</f>
        <v>10</v>
      </c>
      <c r="F65" s="2"/>
      <c r="G65" s="14">
        <f>I165+J165</f>
        <v>5</v>
      </c>
      <c r="H65" s="22">
        <f>D123*K165/Variables!C21/Variables!C22</f>
        <v>12.01923076923077</v>
      </c>
      <c r="I65" s="14">
        <f t="shared" si="1"/>
        <v>17.01923076923077</v>
      </c>
      <c r="J65" s="2"/>
      <c r="K65" s="1"/>
      <c r="L65" s="13"/>
      <c r="M65" s="13"/>
    </row>
    <row r="66" spans="1:13" s="3" customFormat="1" ht="30.75" customHeight="1">
      <c r="A66" s="83"/>
      <c r="B66" s="173" t="s">
        <v>36</v>
      </c>
      <c r="C66" s="173"/>
      <c r="D66" s="101"/>
      <c r="E66" s="15">
        <f>SUM(E58:E65)</f>
        <v>1787.1153846153845</v>
      </c>
      <c r="F66" s="2"/>
      <c r="G66" s="16"/>
      <c r="H66" s="1"/>
      <c r="I66" s="15">
        <f>SUM(I59:I65)</f>
        <v>1529.8461538461538</v>
      </c>
      <c r="J66" s="2"/>
      <c r="K66" s="1"/>
      <c r="L66" s="13"/>
      <c r="M66" s="13"/>
    </row>
    <row r="67" spans="1:13" s="3" customFormat="1" ht="30.75" customHeight="1">
      <c r="A67" s="2"/>
      <c r="B67" s="2"/>
      <c r="C67" s="2"/>
      <c r="D67" s="2"/>
      <c r="E67" s="2"/>
      <c r="F67" s="2"/>
      <c r="G67" s="2"/>
      <c r="H67" s="2"/>
      <c r="I67" s="2"/>
      <c r="J67" s="2"/>
      <c r="K67" s="1"/>
      <c r="L67" s="13"/>
      <c r="M67" s="13"/>
    </row>
    <row r="68" spans="1:13" s="3" customFormat="1" ht="30.75" customHeight="1" thickBot="1">
      <c r="A68" s="2"/>
      <c r="B68" s="2"/>
      <c r="C68" s="2"/>
      <c r="D68" s="2"/>
      <c r="E68" s="2"/>
      <c r="F68" s="2"/>
      <c r="G68" s="2"/>
      <c r="H68" s="2"/>
      <c r="I68" s="2"/>
      <c r="J68" s="2"/>
      <c r="K68" s="1"/>
      <c r="L68" s="13"/>
      <c r="M68" s="13"/>
    </row>
    <row r="69" spans="1:13" s="3" customFormat="1" ht="30.75" customHeight="1" thickBot="1">
      <c r="A69" s="2"/>
      <c r="B69" s="180" t="s">
        <v>46</v>
      </c>
      <c r="C69" s="180"/>
      <c r="D69" s="167" t="s">
        <v>90</v>
      </c>
      <c r="E69" s="167"/>
      <c r="F69" s="167" t="s">
        <v>93</v>
      </c>
      <c r="G69" s="167"/>
      <c r="H69" s="2"/>
      <c r="I69" s="2"/>
      <c r="J69" s="2"/>
      <c r="K69" s="1"/>
      <c r="L69" s="13"/>
      <c r="M69" s="13"/>
    </row>
    <row r="70" spans="1:13" s="3" customFormat="1" ht="30.75" customHeight="1">
      <c r="A70" s="2"/>
      <c r="B70" s="181" t="s">
        <v>38</v>
      </c>
      <c r="C70" s="181"/>
      <c r="D70" s="69" t="s">
        <v>27</v>
      </c>
      <c r="E70" s="69" t="s">
        <v>39</v>
      </c>
      <c r="F70" s="69" t="s">
        <v>27</v>
      </c>
      <c r="G70" s="69" t="s">
        <v>39</v>
      </c>
      <c r="H70" s="2"/>
      <c r="I70" s="2"/>
      <c r="J70" s="2"/>
      <c r="K70" s="1"/>
      <c r="L70" s="13"/>
      <c r="M70" s="13"/>
    </row>
    <row r="71" spans="1:13" s="3" customFormat="1" ht="30.75" customHeight="1">
      <c r="A71" s="2"/>
      <c r="B71" s="182" t="s">
        <v>40</v>
      </c>
      <c r="C71" s="182"/>
      <c r="D71" s="18">
        <f>E42</f>
        <v>1035</v>
      </c>
      <c r="E71" s="18">
        <f>G42</f>
        <v>130</v>
      </c>
      <c r="F71" s="18">
        <f>E59</f>
        <v>1135</v>
      </c>
      <c r="G71" s="18">
        <f>G59</f>
        <v>145</v>
      </c>
      <c r="H71" s="2"/>
      <c r="I71" s="2"/>
      <c r="J71" s="2"/>
      <c r="K71" s="1"/>
      <c r="L71" s="13"/>
      <c r="M71" s="13"/>
    </row>
    <row r="72" spans="1:13" s="3" customFormat="1" ht="30.75" customHeight="1">
      <c r="A72" s="2"/>
      <c r="B72" s="183" t="s">
        <v>41</v>
      </c>
      <c r="C72" s="183"/>
      <c r="D72" s="10">
        <f>SUM(E43:E48)</f>
        <v>580</v>
      </c>
      <c r="E72" s="10">
        <f>SUM(G43:G48)</f>
        <v>231</v>
      </c>
      <c r="F72" s="10">
        <f>SUM(E60:E65)</f>
        <v>580</v>
      </c>
      <c r="G72" s="10">
        <f>SUM(G60:G65)</f>
        <v>231</v>
      </c>
      <c r="H72" s="2"/>
      <c r="I72" s="2"/>
      <c r="J72" s="2"/>
      <c r="K72" s="1"/>
      <c r="L72" s="13"/>
      <c r="M72" s="13"/>
    </row>
    <row r="73" spans="1:13" s="3" customFormat="1" ht="30.75" customHeight="1">
      <c r="A73" s="2"/>
      <c r="B73" s="184" t="s">
        <v>42</v>
      </c>
      <c r="C73" s="184"/>
      <c r="D73" s="14">
        <f>E41</f>
        <v>72.11538461538461</v>
      </c>
      <c r="E73" s="14">
        <f>SUM(H42:H48)</f>
        <v>1153.8461538461538</v>
      </c>
      <c r="F73" s="14">
        <f>E58</f>
        <v>72.11538461538461</v>
      </c>
      <c r="G73" s="14">
        <f>SUM(H59:H65)</f>
        <v>1153.8461538461538</v>
      </c>
      <c r="H73" s="2"/>
      <c r="I73" s="2"/>
      <c r="J73" s="2"/>
      <c r="K73" s="1"/>
      <c r="L73" s="13"/>
      <c r="M73" s="13"/>
    </row>
    <row r="74" spans="1:13" s="3" customFormat="1" ht="30.75" customHeight="1">
      <c r="A74" s="83"/>
      <c r="B74" s="173" t="s">
        <v>36</v>
      </c>
      <c r="C74" s="173"/>
      <c r="D74" s="15">
        <f>SUM(D71:D73)</f>
        <v>1687.1153846153845</v>
      </c>
      <c r="E74" s="15">
        <f>SUM(E71:E73)</f>
        <v>1514.8461538461538</v>
      </c>
      <c r="F74" s="15">
        <f>SUM(F71:F73)</f>
        <v>1787.1153846153845</v>
      </c>
      <c r="G74" s="15">
        <f>SUM(G71:G73)</f>
        <v>1529.8461538461538</v>
      </c>
      <c r="H74" s="16"/>
      <c r="I74" s="1"/>
      <c r="J74" s="2"/>
      <c r="K74" s="1"/>
      <c r="L74" s="13"/>
      <c r="M74" s="13"/>
    </row>
    <row r="75" spans="1:13" s="3" customFormat="1" ht="30.75" customHeight="1">
      <c r="A75" s="107" t="s">
        <v>47</v>
      </c>
      <c r="B75" s="1"/>
      <c r="C75" s="1"/>
      <c r="D75" s="1"/>
      <c r="E75" s="1"/>
      <c r="F75" s="1"/>
      <c r="G75" s="1"/>
      <c r="H75" s="1"/>
      <c r="I75" s="1"/>
      <c r="J75" s="1"/>
      <c r="K75" s="1"/>
      <c r="L75" s="13"/>
      <c r="M75" s="13"/>
    </row>
    <row r="76" spans="1:13" s="3" customFormat="1" ht="30.75" customHeight="1" thickBot="1">
      <c r="A76" s="113"/>
      <c r="B76" s="1"/>
      <c r="C76" s="1"/>
      <c r="D76" s="1"/>
      <c r="E76" s="1"/>
      <c r="F76" s="1"/>
      <c r="G76" s="1"/>
      <c r="H76" s="1"/>
      <c r="I76" s="1"/>
      <c r="J76" s="1"/>
      <c r="K76" s="1"/>
      <c r="L76" s="13"/>
      <c r="M76" s="13"/>
    </row>
    <row r="77" spans="1:13" s="3" customFormat="1" ht="30.75" customHeight="1">
      <c r="A77" s="221" t="s">
        <v>25</v>
      </c>
      <c r="B77" s="1"/>
      <c r="C77" s="1"/>
      <c r="D77" s="1"/>
      <c r="E77" s="1"/>
      <c r="F77" s="1"/>
      <c r="G77" s="1"/>
      <c r="H77" s="1"/>
      <c r="I77" s="1"/>
      <c r="J77" s="1"/>
      <c r="K77" s="1"/>
      <c r="L77" s="13"/>
      <c r="M77" s="13"/>
    </row>
    <row r="78" spans="1:13" s="3" customFormat="1" ht="30.75" customHeight="1" thickBot="1">
      <c r="A78" s="222"/>
      <c r="B78" s="1"/>
      <c r="C78" s="1"/>
      <c r="D78" s="1"/>
      <c r="E78" s="1"/>
      <c r="F78" s="1"/>
      <c r="G78" s="1"/>
      <c r="H78" s="1"/>
      <c r="I78" s="1"/>
      <c r="J78" s="1"/>
      <c r="K78" s="1"/>
      <c r="L78" s="13"/>
      <c r="M78" s="13"/>
    </row>
    <row r="79" spans="1:13" s="3" customFormat="1" ht="30.75" customHeight="1" thickBot="1">
      <c r="A79" s="114">
        <f>Notes!A26</f>
        <v>23</v>
      </c>
      <c r="B79" s="187" t="s">
        <v>48</v>
      </c>
      <c r="C79" s="187"/>
      <c r="D79" s="23">
        <v>15</v>
      </c>
      <c r="E79" s="1"/>
      <c r="F79" s="1"/>
      <c r="G79" s="1"/>
      <c r="H79" s="1"/>
      <c r="I79" s="1"/>
      <c r="J79" s="1"/>
      <c r="K79" s="1"/>
      <c r="L79" s="13"/>
      <c r="M79" s="13"/>
    </row>
    <row r="80" spans="1:13" s="3" customFormat="1" ht="30.75" customHeight="1" thickBot="1">
      <c r="A80" s="114">
        <f>Notes!A27</f>
        <v>24</v>
      </c>
      <c r="B80" s="168" t="s">
        <v>160</v>
      </c>
      <c r="C80" s="169"/>
      <c r="D80" s="24">
        <v>7</v>
      </c>
      <c r="E80" s="1"/>
      <c r="F80" s="1"/>
      <c r="G80" s="1"/>
      <c r="H80" s="1"/>
      <c r="I80" s="1"/>
      <c r="J80" s="1"/>
      <c r="K80" s="1"/>
      <c r="L80" s="13"/>
      <c r="M80" s="13"/>
    </row>
    <row r="81" spans="1:13" s="3" customFormat="1" ht="30.75" customHeight="1" thickBot="1">
      <c r="A81" s="83" t="s">
        <v>60</v>
      </c>
      <c r="B81" s="1"/>
      <c r="C81" s="1"/>
      <c r="D81" s="1"/>
      <c r="E81" s="1"/>
      <c r="F81" s="1"/>
      <c r="G81" s="1"/>
      <c r="H81" s="1"/>
      <c r="I81" s="1"/>
      <c r="J81" s="1"/>
      <c r="K81" s="1"/>
      <c r="L81" s="13"/>
      <c r="M81" s="13"/>
    </row>
    <row r="82" spans="1:11" s="3" customFormat="1" ht="30.75" customHeight="1" thickBot="1">
      <c r="A82" s="83"/>
      <c r="B82" s="102"/>
      <c r="C82" s="115"/>
      <c r="D82" s="165" t="s">
        <v>49</v>
      </c>
      <c r="E82" s="161" t="s">
        <v>50</v>
      </c>
      <c r="F82" s="163" t="s">
        <v>156</v>
      </c>
      <c r="G82" s="161" t="s">
        <v>51</v>
      </c>
      <c r="H82" s="165" t="s">
        <v>52</v>
      </c>
      <c r="I82" s="161" t="s">
        <v>53</v>
      </c>
      <c r="J82" s="161" t="s">
        <v>54</v>
      </c>
      <c r="K82" s="161" t="s">
        <v>55</v>
      </c>
    </row>
    <row r="83" spans="1:11" s="3" customFormat="1" ht="30.75" customHeight="1" thickBot="1">
      <c r="A83" s="2"/>
      <c r="B83" s="210" t="s">
        <v>90</v>
      </c>
      <c r="C83" s="211"/>
      <c r="D83" s="170"/>
      <c r="E83" s="162"/>
      <c r="F83" s="164"/>
      <c r="G83" s="162"/>
      <c r="H83" s="162"/>
      <c r="I83" s="162"/>
      <c r="J83" s="162"/>
      <c r="K83" s="162"/>
    </row>
    <row r="84" spans="1:11" s="3" customFormat="1" ht="30.75" customHeight="1">
      <c r="A84" s="99">
        <f>Notes!A28</f>
        <v>25</v>
      </c>
      <c r="B84" s="171" t="s">
        <v>56</v>
      </c>
      <c r="C84" s="171"/>
      <c r="D84" s="26">
        <v>3</v>
      </c>
      <c r="E84" s="26">
        <v>2500</v>
      </c>
      <c r="F84" s="27">
        <v>0</v>
      </c>
      <c r="G84" s="28">
        <f>IF(D84=0,0,IF(F84=0,CEILING(Summary!D7/E84,1),MAX(Summary!D8,CEILING(Summary!D7/E84,1))))</f>
        <v>2</v>
      </c>
      <c r="H84" s="28">
        <f aca="true" t="shared" si="2" ref="H84:H94">VLOOKUP(D84,servers,2)*G84</f>
        <v>10000</v>
      </c>
      <c r="I84" s="28">
        <f aca="true" t="shared" si="3" ref="I84:I94">VLOOKUP(D84,servers,3)*G84</f>
        <v>1500</v>
      </c>
      <c r="J84" s="28">
        <f>Summary!D7*D130</f>
        <v>0</v>
      </c>
      <c r="K84" s="28">
        <f>Summary!D7*(E130+F130)</f>
        <v>40000</v>
      </c>
    </row>
    <row r="85" spans="1:11" s="3" customFormat="1" ht="30.75" customHeight="1">
      <c r="A85" s="99">
        <f>Notes!A28</f>
        <v>25</v>
      </c>
      <c r="B85" s="171" t="s">
        <v>57</v>
      </c>
      <c r="C85" s="171"/>
      <c r="D85" s="29">
        <v>3</v>
      </c>
      <c r="E85" s="29">
        <v>2500</v>
      </c>
      <c r="F85" s="30">
        <v>0</v>
      </c>
      <c r="G85" s="9">
        <f>IF(D85=0,0,IF(F85=0,CEILING(Summary!D7/E85,1),MAX(Summary!D8,CEILING(Summary!D7/E85,1))))</f>
        <v>2</v>
      </c>
      <c r="H85" s="9">
        <f t="shared" si="2"/>
        <v>10000</v>
      </c>
      <c r="I85" s="9">
        <f t="shared" si="3"/>
        <v>1500</v>
      </c>
      <c r="J85" s="9">
        <f>Summary!D7*D131</f>
        <v>0</v>
      </c>
      <c r="K85" s="9">
        <f>Summary!D7*(E131+F131)</f>
        <v>60000</v>
      </c>
    </row>
    <row r="86" spans="1:11" s="3" customFormat="1" ht="30.75" customHeight="1">
      <c r="A86" s="99">
        <f>Notes!A28</f>
        <v>25</v>
      </c>
      <c r="B86" s="171" t="s">
        <v>58</v>
      </c>
      <c r="C86" s="171"/>
      <c r="D86" s="29">
        <v>1</v>
      </c>
      <c r="E86" s="29">
        <v>300</v>
      </c>
      <c r="F86" s="30">
        <v>1</v>
      </c>
      <c r="G86" s="9">
        <f>IF(D86=0,0,IF(F86=0,CEILING(Summary!D7/E86,1),MAX(Summary!D8,CEILING(Summary!D7/E86,1))))</f>
        <v>14</v>
      </c>
      <c r="H86" s="9">
        <f t="shared" si="2"/>
        <v>133000</v>
      </c>
      <c r="I86" s="9">
        <f t="shared" si="3"/>
        <v>19950</v>
      </c>
      <c r="J86" s="9">
        <f>Summary!D7*D132</f>
        <v>0</v>
      </c>
      <c r="K86" s="9">
        <f>Summary!D7*(E132+F132)</f>
        <v>0</v>
      </c>
    </row>
    <row r="87" spans="1:11" s="3" customFormat="1" ht="30.75" customHeight="1">
      <c r="A87" s="99">
        <f>Notes!A28</f>
        <v>25</v>
      </c>
      <c r="B87" s="188" t="s">
        <v>59</v>
      </c>
      <c r="C87" s="188"/>
      <c r="D87" s="29">
        <v>2</v>
      </c>
      <c r="E87" s="29">
        <v>230</v>
      </c>
      <c r="F87" s="30">
        <v>1</v>
      </c>
      <c r="G87" s="9">
        <f>IF(D87=0,0,IF(F87=0,CEILING(Summary!D7/E87,1),MAX(Summary!D8,CEILING(Summary!D7/E87,1))))</f>
        <v>18</v>
      </c>
      <c r="H87" s="9">
        <f t="shared" si="2"/>
        <v>135000</v>
      </c>
      <c r="I87" s="9">
        <f t="shared" si="3"/>
        <v>20250</v>
      </c>
      <c r="J87" s="9">
        <f>Summary!D7*D133</f>
        <v>0</v>
      </c>
      <c r="K87" s="9">
        <f>Summary!D7*(E133+F133)</f>
        <v>20000</v>
      </c>
    </row>
    <row r="88" spans="1:11" s="3" customFormat="1" ht="30.75" customHeight="1">
      <c r="A88" s="99">
        <f>Notes!A28</f>
        <v>25</v>
      </c>
      <c r="B88" s="213" t="s">
        <v>185</v>
      </c>
      <c r="C88" s="214"/>
      <c r="D88" s="29">
        <v>3</v>
      </c>
      <c r="E88" s="29">
        <v>1000</v>
      </c>
      <c r="F88" s="30">
        <v>1</v>
      </c>
      <c r="G88" s="9">
        <f>IF(D88=0,0,IF(F88=0,CEILING(Summary!D7/E88,1),MAX(Summary!D8,CEILING(Summary!D7/E88,1))))</f>
        <v>10</v>
      </c>
      <c r="H88" s="9">
        <f>VLOOKUP(D88,servers,2)*G88</f>
        <v>50000</v>
      </c>
      <c r="I88" s="9">
        <f>VLOOKUP(D88,servers,3)*G88</f>
        <v>7500</v>
      </c>
      <c r="J88" s="9">
        <f>Summary!D8*D135</f>
        <v>1250</v>
      </c>
      <c r="K88" s="9">
        <f>Summary!D8*(E135+F135)</f>
        <v>300</v>
      </c>
    </row>
    <row r="89" spans="1:11" s="3" customFormat="1" ht="30.75" customHeight="1">
      <c r="A89" s="99">
        <f>Notes!A28</f>
        <v>25</v>
      </c>
      <c r="B89" s="188" t="s">
        <v>34</v>
      </c>
      <c r="C89" s="188"/>
      <c r="D89" s="29">
        <v>0</v>
      </c>
      <c r="E89" s="29">
        <v>0</v>
      </c>
      <c r="F89" s="30">
        <v>0</v>
      </c>
      <c r="G89" s="9">
        <f>IF(D89=0,0,IF(F89=0,CEILING(Summary!D7/E89,1),MAX(Summary!D8,CEILING(Summary!D7/E89,1))))</f>
        <v>0</v>
      </c>
      <c r="H89" s="9">
        <f t="shared" si="2"/>
        <v>0</v>
      </c>
      <c r="I89" s="9">
        <f t="shared" si="3"/>
        <v>0</v>
      </c>
      <c r="J89" s="9">
        <f>Summary!D7*D135</f>
        <v>500000</v>
      </c>
      <c r="K89" s="9">
        <f>Summary!D7*(E135+F135)</f>
        <v>120000</v>
      </c>
    </row>
    <row r="90" spans="1:11" s="3" customFormat="1" ht="30.75" customHeight="1">
      <c r="A90" s="99">
        <f>Notes!A28</f>
        <v>25</v>
      </c>
      <c r="B90" s="171" t="s">
        <v>94</v>
      </c>
      <c r="C90" s="171"/>
      <c r="D90" s="29">
        <v>0</v>
      </c>
      <c r="E90" s="29">
        <v>0</v>
      </c>
      <c r="F90" s="30">
        <v>0</v>
      </c>
      <c r="G90" s="9">
        <f>IF(D90=0,0,IF(F90=0,CEILING(Summary!D7/E90,1),MAX(Summary!D8,CEILING(Summary!D7/E90,1))))</f>
        <v>0</v>
      </c>
      <c r="H90" s="9">
        <f t="shared" si="2"/>
        <v>0</v>
      </c>
      <c r="I90" s="9">
        <f t="shared" si="3"/>
        <v>0</v>
      </c>
      <c r="J90" s="9">
        <f>Summary!D7*D141</f>
        <v>0</v>
      </c>
      <c r="K90" s="9">
        <f>Summary!D7*(E141+F141)</f>
        <v>0</v>
      </c>
    </row>
    <row r="91" spans="1:11" s="3" customFormat="1" ht="30.75" customHeight="1">
      <c r="A91" s="99">
        <f>Notes!A28</f>
        <v>25</v>
      </c>
      <c r="B91" s="171" t="s">
        <v>74</v>
      </c>
      <c r="C91" s="171"/>
      <c r="D91" s="29">
        <v>0</v>
      </c>
      <c r="E91" s="29">
        <v>0</v>
      </c>
      <c r="F91" s="30">
        <v>0</v>
      </c>
      <c r="G91" s="9">
        <f>IF(D91=0,0,IF(F91=0,CEILING(Summary!D7/E91,1),MAX(Summary!D8,CEILING(Summary!D7/E91,1))))</f>
        <v>0</v>
      </c>
      <c r="H91" s="9">
        <f t="shared" si="2"/>
        <v>0</v>
      </c>
      <c r="I91" s="9">
        <f t="shared" si="3"/>
        <v>0</v>
      </c>
      <c r="J91" s="9">
        <f>Summary!D7*D142</f>
        <v>0</v>
      </c>
      <c r="K91" s="9">
        <f>Summary!D7*(E142+F142)</f>
        <v>0</v>
      </c>
    </row>
    <row r="92" spans="1:11" s="3" customFormat="1" ht="30.75" customHeight="1">
      <c r="A92" s="99">
        <f>Notes!A28</f>
        <v>25</v>
      </c>
      <c r="B92" s="171" t="s">
        <v>35</v>
      </c>
      <c r="C92" s="171"/>
      <c r="D92" s="29">
        <v>0</v>
      </c>
      <c r="E92" s="29">
        <v>0</v>
      </c>
      <c r="F92" s="30">
        <v>0</v>
      </c>
      <c r="G92" s="9">
        <f>IF(D92=0,0,IF(F92=0,CEILING(Summary!D7/E92,1),MAX(Summary!D8,CEILING(Summary!D7/E92,1))))</f>
        <v>0</v>
      </c>
      <c r="H92" s="9">
        <f t="shared" si="2"/>
        <v>0</v>
      </c>
      <c r="I92" s="9">
        <f t="shared" si="3"/>
        <v>0</v>
      </c>
      <c r="J92" s="9">
        <f>Summary!D7*D143</f>
        <v>0</v>
      </c>
      <c r="K92" s="9">
        <f>Summary!D7*(E143+F143)</f>
        <v>0</v>
      </c>
    </row>
    <row r="93" spans="1:11" s="3" customFormat="1" ht="30.75" customHeight="1">
      <c r="A93" s="99">
        <f>Notes!A28</f>
        <v>25</v>
      </c>
      <c r="B93" s="171" t="s">
        <v>44</v>
      </c>
      <c r="C93" s="171"/>
      <c r="D93" s="29">
        <v>0</v>
      </c>
      <c r="E93" s="29">
        <v>0</v>
      </c>
      <c r="F93" s="30">
        <v>0</v>
      </c>
      <c r="G93" s="9">
        <f>IF(D93=0,0,IF(F93=0,CEILING(Summary!D7/E93,1),MAX(Summary!D8,CEILING(Summary!D7/E93,1))))</f>
        <v>0</v>
      </c>
      <c r="H93" s="9">
        <f t="shared" si="2"/>
        <v>0</v>
      </c>
      <c r="I93" s="9">
        <f t="shared" si="3"/>
        <v>0</v>
      </c>
      <c r="J93" s="9">
        <f>Summary!D7*D144</f>
        <v>0</v>
      </c>
      <c r="K93" s="9">
        <f>Summary!D7*(E144+F144)</f>
        <v>400000</v>
      </c>
    </row>
    <row r="94" spans="1:11" s="3" customFormat="1" ht="30.75" customHeight="1" thickBot="1">
      <c r="A94" s="92">
        <f>Notes!A28</f>
        <v>25</v>
      </c>
      <c r="B94" s="189" t="s">
        <v>45</v>
      </c>
      <c r="C94" s="189"/>
      <c r="D94" s="31">
        <v>3</v>
      </c>
      <c r="E94" s="31">
        <v>1000</v>
      </c>
      <c r="F94" s="32">
        <v>1</v>
      </c>
      <c r="G94" s="14">
        <f>IF(D94=0,0,IF(F94=0,CEILING(Summary!D7/E94,1),MAX(Summary!D8,CEILING(Summary!D7/E94,1))))</f>
        <v>10</v>
      </c>
      <c r="H94" s="14">
        <f t="shared" si="2"/>
        <v>50000</v>
      </c>
      <c r="I94" s="14">
        <f t="shared" si="3"/>
        <v>7500</v>
      </c>
      <c r="J94" s="14">
        <f>Summary!D7*D145</f>
        <v>800000</v>
      </c>
      <c r="K94" s="14">
        <f>Summary!D7*(E145+F145)</f>
        <v>400000</v>
      </c>
    </row>
    <row r="95" spans="1:11" s="3" customFormat="1" ht="30.75" customHeight="1" thickBot="1">
      <c r="A95" s="83"/>
      <c r="B95" s="174" t="s">
        <v>36</v>
      </c>
      <c r="C95" s="174"/>
      <c r="D95" s="33"/>
      <c r="E95" s="33"/>
      <c r="F95" s="2"/>
      <c r="G95" s="2"/>
      <c r="H95" s="116">
        <f>SUM(H84:H94)</f>
        <v>388000</v>
      </c>
      <c r="I95" s="116">
        <f>SUM(I84:I94)</f>
        <v>58200</v>
      </c>
      <c r="J95" s="116">
        <f>SUM(J84:J94)</f>
        <v>1301250</v>
      </c>
      <c r="K95" s="116">
        <f>SUM(K84:K94)</f>
        <v>1040300</v>
      </c>
    </row>
    <row r="96" spans="1:13" s="3" customFormat="1" ht="30.75" customHeight="1" thickBot="1">
      <c r="A96" s="83" t="s">
        <v>60</v>
      </c>
      <c r="B96" s="1"/>
      <c r="C96" s="1"/>
      <c r="D96" s="1"/>
      <c r="E96" s="1"/>
      <c r="F96" s="1"/>
      <c r="G96" s="1"/>
      <c r="H96" s="1"/>
      <c r="I96" s="1"/>
      <c r="J96" s="1"/>
      <c r="K96" s="1"/>
      <c r="L96" s="13"/>
      <c r="M96" s="13"/>
    </row>
    <row r="97" spans="1:13" s="3" customFormat="1" ht="30.75" customHeight="1" thickBot="1">
      <c r="A97" s="83"/>
      <c r="B97" s="1"/>
      <c r="C97" s="1"/>
      <c r="D97" s="165" t="s">
        <v>49</v>
      </c>
      <c r="E97" s="161" t="s">
        <v>50</v>
      </c>
      <c r="F97" s="163" t="s">
        <v>156</v>
      </c>
      <c r="G97" s="161" t="s">
        <v>51</v>
      </c>
      <c r="H97" s="165" t="s">
        <v>52</v>
      </c>
      <c r="I97" s="161" t="s">
        <v>53</v>
      </c>
      <c r="J97" s="161" t="s">
        <v>54</v>
      </c>
      <c r="K97" s="161" t="s">
        <v>55</v>
      </c>
      <c r="L97" s="13"/>
      <c r="M97" s="13"/>
    </row>
    <row r="98" spans="1:13" s="3" customFormat="1" ht="30.75" customHeight="1" thickBot="1">
      <c r="A98" s="2"/>
      <c r="B98" s="173" t="s">
        <v>93</v>
      </c>
      <c r="C98" s="190"/>
      <c r="D98" s="170"/>
      <c r="E98" s="162"/>
      <c r="F98" s="164"/>
      <c r="G98" s="217"/>
      <c r="H98" s="204"/>
      <c r="I98" s="217"/>
      <c r="J98" s="162"/>
      <c r="K98" s="162"/>
      <c r="L98" s="13"/>
      <c r="M98" s="13"/>
    </row>
    <row r="99" spans="1:13" s="3" customFormat="1" ht="30.75" customHeight="1">
      <c r="A99" s="99">
        <f>Notes!A28</f>
        <v>25</v>
      </c>
      <c r="B99" s="171" t="s">
        <v>56</v>
      </c>
      <c r="C99" s="171"/>
      <c r="D99" s="26">
        <v>3</v>
      </c>
      <c r="E99" s="26">
        <v>2500</v>
      </c>
      <c r="F99" s="27">
        <v>0</v>
      </c>
      <c r="G99" s="9">
        <f>IF(D99=0,0,IF(F99=0,CEILING(Summary!D7/E99,1),MAX(Summary!D8,CEILING(Summary!D7/E99,1))))</f>
        <v>2</v>
      </c>
      <c r="H99" s="28">
        <f aca="true" t="shared" si="4" ref="H99:H109">VLOOKUP(D99,servers,2)*G99</f>
        <v>10000</v>
      </c>
      <c r="I99" s="28">
        <f aca="true" t="shared" si="5" ref="I99:I109">VLOOKUP(D99,servers,3)*G99</f>
        <v>1500</v>
      </c>
      <c r="J99" s="28">
        <f>Summary!D7*G130</f>
        <v>0</v>
      </c>
      <c r="K99" s="28">
        <f>Summary!D7*(H130+I130)</f>
        <v>0</v>
      </c>
      <c r="L99" s="13"/>
      <c r="M99" s="13"/>
    </row>
    <row r="100" spans="1:11" s="3" customFormat="1" ht="30.75" customHeight="1">
      <c r="A100" s="99">
        <f>Notes!A28</f>
        <v>25</v>
      </c>
      <c r="B100" s="171" t="s">
        <v>57</v>
      </c>
      <c r="C100" s="171"/>
      <c r="D100" s="29">
        <v>3</v>
      </c>
      <c r="E100" s="29">
        <v>2500</v>
      </c>
      <c r="F100" s="30">
        <v>0</v>
      </c>
      <c r="G100" s="9">
        <f>IF(D100=0,0,IF(F100=0,CEILING(Summary!D7/E100,1),MAX(Summary!D8,CEILING(Summary!D7/E100,1))))</f>
        <v>2</v>
      </c>
      <c r="H100" s="9">
        <f t="shared" si="4"/>
        <v>10000</v>
      </c>
      <c r="I100" s="9">
        <f t="shared" si="5"/>
        <v>1500</v>
      </c>
      <c r="J100" s="9">
        <f>Summary!D7*G131</f>
        <v>0</v>
      </c>
      <c r="K100" s="9">
        <f>Summary!D7*(H131+I131)</f>
        <v>0</v>
      </c>
    </row>
    <row r="101" spans="1:11" s="3" customFormat="1" ht="30.75" customHeight="1">
      <c r="A101" s="99">
        <f>Notes!A28</f>
        <v>25</v>
      </c>
      <c r="B101" s="171" t="s">
        <v>58</v>
      </c>
      <c r="C101" s="171"/>
      <c r="D101" s="29">
        <v>1</v>
      </c>
      <c r="E101" s="29">
        <v>300</v>
      </c>
      <c r="F101" s="30">
        <v>1</v>
      </c>
      <c r="G101" s="9">
        <f>IF(D101=0,0,IF(F101=0,CEILING(Summary!D7/E101,1),MAX(Summary!D8,CEILING(Summary!D7/E101,1))))</f>
        <v>14</v>
      </c>
      <c r="H101" s="9">
        <f t="shared" si="4"/>
        <v>133000</v>
      </c>
      <c r="I101" s="9">
        <f t="shared" si="5"/>
        <v>19950</v>
      </c>
      <c r="J101" s="9">
        <f>Summary!D7*G132</f>
        <v>0</v>
      </c>
      <c r="K101" s="9">
        <f>Summary!D7*(H132+I132)</f>
        <v>0</v>
      </c>
    </row>
    <row r="102" spans="1:11" s="3" customFormat="1" ht="30.75" customHeight="1">
      <c r="A102" s="99">
        <f>Notes!A28</f>
        <v>25</v>
      </c>
      <c r="B102" s="188" t="s">
        <v>59</v>
      </c>
      <c r="C102" s="188"/>
      <c r="D102" s="29">
        <v>2</v>
      </c>
      <c r="E102" s="29">
        <v>230</v>
      </c>
      <c r="F102" s="30">
        <v>1</v>
      </c>
      <c r="G102" s="9">
        <f>IF(D102=0,0,IF(F102=0,CEILING(Summary!D7/E102,1),MAX(Summary!D8,CEILING(Summary!D7/E102,1))))</f>
        <v>18</v>
      </c>
      <c r="H102" s="9">
        <f t="shared" si="4"/>
        <v>135000</v>
      </c>
      <c r="I102" s="9">
        <f t="shared" si="5"/>
        <v>20250</v>
      </c>
      <c r="J102" s="9">
        <f>Summary!D7*G133</f>
        <v>0</v>
      </c>
      <c r="K102" s="9">
        <f>Summary!D7*(H133+I133)</f>
        <v>0</v>
      </c>
    </row>
    <row r="103" spans="1:11" s="3" customFormat="1" ht="30.75" customHeight="1">
      <c r="A103" s="99">
        <f>Notes!A28</f>
        <v>25</v>
      </c>
      <c r="B103" s="213" t="s">
        <v>185</v>
      </c>
      <c r="C103" s="214"/>
      <c r="D103" s="29">
        <v>3</v>
      </c>
      <c r="E103" s="29">
        <v>1000</v>
      </c>
      <c r="F103" s="30">
        <v>1</v>
      </c>
      <c r="G103" s="9">
        <f>IF(D103=0,0,IF(F103=0,CEILING(Summary!D7/E103,1),MAX(Summary!D8,CEILING(Summary!D7/E103,1))))</f>
        <v>10</v>
      </c>
      <c r="H103" s="9">
        <f t="shared" si="4"/>
        <v>50000</v>
      </c>
      <c r="I103" s="9">
        <f t="shared" si="5"/>
        <v>7500</v>
      </c>
      <c r="J103" s="9">
        <f>Summary!D23*G134</f>
        <v>0</v>
      </c>
      <c r="K103" s="9">
        <f>Summary!D23*(H134+I134)</f>
        <v>0</v>
      </c>
    </row>
    <row r="104" spans="1:11" s="3" customFormat="1" ht="30.75" customHeight="1">
      <c r="A104" s="99">
        <f>Notes!A28</f>
        <v>25</v>
      </c>
      <c r="B104" s="188" t="s">
        <v>34</v>
      </c>
      <c r="C104" s="188"/>
      <c r="D104" s="29">
        <v>0</v>
      </c>
      <c r="E104" s="29">
        <v>0</v>
      </c>
      <c r="F104" s="30">
        <v>0</v>
      </c>
      <c r="G104" s="9">
        <f>IF(D104=0,0,IF(F104=0,CEILING(Summary!D7/E104,1),MAX(Summary!D8,CEILING(Summary!D7/E104,1))))</f>
        <v>0</v>
      </c>
      <c r="H104" s="9">
        <f t="shared" si="4"/>
        <v>0</v>
      </c>
      <c r="I104" s="9">
        <f t="shared" si="5"/>
        <v>0</v>
      </c>
      <c r="J104" s="9">
        <f>Summary!D7*G135</f>
        <v>500000</v>
      </c>
      <c r="K104" s="9">
        <f>Summary!D7*(H135+I135)</f>
        <v>304000</v>
      </c>
    </row>
    <row r="105" spans="1:11" s="3" customFormat="1" ht="30.75" customHeight="1">
      <c r="A105" s="99">
        <f>Notes!A28</f>
        <v>25</v>
      </c>
      <c r="B105" s="171" t="s">
        <v>94</v>
      </c>
      <c r="C105" s="171"/>
      <c r="D105" s="29">
        <v>0</v>
      </c>
      <c r="E105" s="29">
        <v>0</v>
      </c>
      <c r="F105" s="30">
        <v>0</v>
      </c>
      <c r="G105" s="9">
        <f>IF(D105=0,0,IF(F105=0,CEILING(Summary!D7/E105,1),MAX(Summary!D8,CEILING(Summary!D7/E105,1))))</f>
        <v>0</v>
      </c>
      <c r="H105" s="9">
        <f t="shared" si="4"/>
        <v>0</v>
      </c>
      <c r="I105" s="9">
        <f t="shared" si="5"/>
        <v>0</v>
      </c>
      <c r="J105" s="9">
        <f>Summary!D7*G141</f>
        <v>0</v>
      </c>
      <c r="K105" s="9">
        <f>Summary!D7*(H141+I141)</f>
        <v>0</v>
      </c>
    </row>
    <row r="106" spans="1:11" s="3" customFormat="1" ht="30.75" customHeight="1">
      <c r="A106" s="99">
        <f>Notes!A28</f>
        <v>25</v>
      </c>
      <c r="B106" s="171" t="s">
        <v>74</v>
      </c>
      <c r="C106" s="171"/>
      <c r="D106" s="29">
        <v>0</v>
      </c>
      <c r="E106" s="29">
        <v>0</v>
      </c>
      <c r="F106" s="30">
        <v>0</v>
      </c>
      <c r="G106" s="9">
        <f>IF(D106=0,0,IF(F106=0,CEILING(Summary!D7/E106,1),MAX(Summary!D8,CEILING(Summary!D7/E106,1))))</f>
        <v>0</v>
      </c>
      <c r="H106" s="9">
        <f t="shared" si="4"/>
        <v>0</v>
      </c>
      <c r="I106" s="9">
        <f t="shared" si="5"/>
        <v>0</v>
      </c>
      <c r="J106" s="9">
        <f>Summary!D7*H142</f>
        <v>0</v>
      </c>
      <c r="K106" s="9">
        <f>Summary!D7*(H131+I131)</f>
        <v>0</v>
      </c>
    </row>
    <row r="107" spans="1:11" s="3" customFormat="1" ht="30.75" customHeight="1">
      <c r="A107" s="99">
        <f>Notes!A28</f>
        <v>25</v>
      </c>
      <c r="B107" s="171" t="s">
        <v>35</v>
      </c>
      <c r="C107" s="171"/>
      <c r="D107" s="29">
        <v>0</v>
      </c>
      <c r="E107" s="29">
        <v>0</v>
      </c>
      <c r="F107" s="30">
        <v>0</v>
      </c>
      <c r="G107" s="9">
        <f>IF(D107=0,0,IF(F107=0,CEILING(Summary!D7/E107,1),MAX(Summary!D8,CEILING(Summary!D7/E107,1))))</f>
        <v>0</v>
      </c>
      <c r="H107" s="9">
        <f t="shared" si="4"/>
        <v>0</v>
      </c>
      <c r="I107" s="9">
        <f t="shared" si="5"/>
        <v>0</v>
      </c>
      <c r="J107" s="9">
        <f>Summary!D7*G143</f>
        <v>0</v>
      </c>
      <c r="K107" s="9">
        <f>Summary!D7*(H143+I143)</f>
        <v>0</v>
      </c>
    </row>
    <row r="108" spans="1:11" s="3" customFormat="1" ht="30.75" customHeight="1">
      <c r="A108" s="99">
        <f>Notes!A28</f>
        <v>25</v>
      </c>
      <c r="B108" s="171" t="s">
        <v>44</v>
      </c>
      <c r="C108" s="171"/>
      <c r="D108" s="29">
        <v>0</v>
      </c>
      <c r="E108" s="29">
        <v>0</v>
      </c>
      <c r="F108" s="30">
        <v>0</v>
      </c>
      <c r="G108" s="9">
        <f>IF(D108=0,0,IF(F108=0,CEILING(Summary!D7/E108,1),MAX(Summary!D8,CEILING(Summary!D7/E108,1))))</f>
        <v>0</v>
      </c>
      <c r="H108" s="9">
        <f t="shared" si="4"/>
        <v>0</v>
      </c>
      <c r="I108" s="9">
        <f t="shared" si="5"/>
        <v>0</v>
      </c>
      <c r="J108" s="9">
        <f>Summary!D7*G144</f>
        <v>0</v>
      </c>
      <c r="K108" s="9">
        <f>Summary!D7*(H144+I144)</f>
        <v>400000</v>
      </c>
    </row>
    <row r="109" spans="1:11" s="3" customFormat="1" ht="30.75" customHeight="1" thickBot="1">
      <c r="A109" s="92">
        <f>Notes!A28</f>
        <v>25</v>
      </c>
      <c r="B109" s="189" t="s">
        <v>45</v>
      </c>
      <c r="C109" s="189"/>
      <c r="D109" s="31">
        <v>3</v>
      </c>
      <c r="E109" s="31">
        <v>1000</v>
      </c>
      <c r="F109" s="32">
        <v>1</v>
      </c>
      <c r="G109" s="14">
        <f>IF(D109=0,0,IF(F109=0,CEILING(Summary!D7/E109,1),MAX(Summary!D8,CEILING(Summary!D7/E109,1))))</f>
        <v>10</v>
      </c>
      <c r="H109" s="14">
        <f t="shared" si="4"/>
        <v>50000</v>
      </c>
      <c r="I109" s="14">
        <f t="shared" si="5"/>
        <v>7500</v>
      </c>
      <c r="J109" s="14">
        <f>Summary!D7*G145</f>
        <v>800000</v>
      </c>
      <c r="K109" s="14">
        <f>Summary!D7*(H145+I145)</f>
        <v>400000</v>
      </c>
    </row>
    <row r="110" spans="1:11" s="3" customFormat="1" ht="30.75" customHeight="1" thickBot="1">
      <c r="A110" s="83"/>
      <c r="B110" s="174" t="s">
        <v>36</v>
      </c>
      <c r="C110" s="174"/>
      <c r="D110" s="33"/>
      <c r="E110" s="33"/>
      <c r="F110" s="2"/>
      <c r="G110" s="2"/>
      <c r="H110" s="116">
        <f>SUM(H99:H109)</f>
        <v>388000</v>
      </c>
      <c r="I110" s="116">
        <f>SUM(I99:I109)</f>
        <v>58200</v>
      </c>
      <c r="J110" s="116">
        <f>SUM(J99:J109)</f>
        <v>1300000</v>
      </c>
      <c r="K110" s="116">
        <f>SUM(K99:K109)</f>
        <v>1104000</v>
      </c>
    </row>
    <row r="111" spans="1:11" ht="30.75" customHeight="1">
      <c r="A111" s="2"/>
      <c r="B111" s="2"/>
      <c r="C111" s="2"/>
      <c r="D111" s="2"/>
      <c r="E111" s="2"/>
      <c r="F111" s="2"/>
      <c r="G111" s="2"/>
      <c r="H111" s="2"/>
      <c r="I111" s="2"/>
      <c r="J111" s="2"/>
      <c r="K111" s="2"/>
    </row>
    <row r="112" spans="1:11" ht="30.75" customHeight="1" thickBot="1">
      <c r="A112" s="2"/>
      <c r="B112" s="2"/>
      <c r="C112" s="2"/>
      <c r="D112" s="2"/>
      <c r="E112" s="2"/>
      <c r="F112" s="2"/>
      <c r="G112" s="2"/>
      <c r="H112" s="2"/>
      <c r="I112" s="2"/>
      <c r="J112" s="2"/>
      <c r="K112" s="2"/>
    </row>
    <row r="113" spans="1:11" ht="30.75" customHeight="1" thickBot="1">
      <c r="A113" s="2"/>
      <c r="B113" s="180" t="s">
        <v>61</v>
      </c>
      <c r="C113" s="180"/>
      <c r="D113" s="167" t="s">
        <v>90</v>
      </c>
      <c r="E113" s="167"/>
      <c r="F113" s="167" t="s">
        <v>93</v>
      </c>
      <c r="G113" s="167"/>
      <c r="H113" s="2"/>
      <c r="I113" s="2"/>
      <c r="J113" s="2"/>
      <c r="K113" s="2"/>
    </row>
    <row r="114" spans="1:11" ht="30.75" customHeight="1">
      <c r="A114" s="2"/>
      <c r="B114" s="181" t="s">
        <v>62</v>
      </c>
      <c r="C114" s="181"/>
      <c r="D114" s="69" t="s">
        <v>27</v>
      </c>
      <c r="E114" s="69" t="s">
        <v>39</v>
      </c>
      <c r="F114" s="69" t="s">
        <v>27</v>
      </c>
      <c r="G114" s="69" t="s">
        <v>39</v>
      </c>
      <c r="H114" s="2"/>
      <c r="I114" s="2"/>
      <c r="J114" s="2"/>
      <c r="K114" s="2"/>
    </row>
    <row r="115" spans="1:11" ht="30.75" customHeight="1">
      <c r="A115" s="2"/>
      <c r="B115" s="182" t="s">
        <v>40</v>
      </c>
      <c r="C115" s="182"/>
      <c r="D115" s="18">
        <f>H95</f>
        <v>388000</v>
      </c>
      <c r="E115" s="18">
        <f>I95</f>
        <v>58200</v>
      </c>
      <c r="F115" s="18">
        <f>H110</f>
        <v>388000</v>
      </c>
      <c r="G115" s="18">
        <f>I110</f>
        <v>58200</v>
      </c>
      <c r="H115" s="2"/>
      <c r="I115" s="2"/>
      <c r="J115" s="2"/>
      <c r="K115" s="2"/>
    </row>
    <row r="116" spans="1:11" ht="30.75" customHeight="1">
      <c r="A116" s="2"/>
      <c r="B116" s="183" t="s">
        <v>41</v>
      </c>
      <c r="C116" s="183"/>
      <c r="D116" s="10">
        <f>J95</f>
        <v>1301250</v>
      </c>
      <c r="E116" s="10">
        <f>K95</f>
        <v>1040300</v>
      </c>
      <c r="F116" s="10">
        <f>J110</f>
        <v>1300000</v>
      </c>
      <c r="G116" s="10">
        <f>K110</f>
        <v>1104000</v>
      </c>
      <c r="H116" s="2"/>
      <c r="I116" s="2"/>
      <c r="J116" s="2"/>
      <c r="K116" s="2"/>
    </row>
    <row r="117" spans="1:11" ht="30.75" customHeight="1">
      <c r="A117" s="2"/>
      <c r="B117" s="184" t="s">
        <v>42</v>
      </c>
      <c r="C117" s="184"/>
      <c r="D117" s="89">
        <v>0</v>
      </c>
      <c r="E117" s="14">
        <f>SUM(G84:G94)/D79*D124+D125</f>
        <v>174333.33333333334</v>
      </c>
      <c r="F117" s="89">
        <v>0</v>
      </c>
      <c r="G117" s="14">
        <f>SUM(G99:G109)/D79*D124+D125</f>
        <v>174333.33333333334</v>
      </c>
      <c r="H117" s="2"/>
      <c r="I117" s="2"/>
      <c r="J117" s="2"/>
      <c r="K117" s="2"/>
    </row>
    <row r="118" spans="1:11" ht="30.75" customHeight="1">
      <c r="A118" s="83"/>
      <c r="B118" s="173" t="s">
        <v>36</v>
      </c>
      <c r="C118" s="173"/>
      <c r="D118" s="15">
        <f>SUM(D115:D117)</f>
        <v>1689250</v>
      </c>
      <c r="E118" s="15">
        <f>SUM(E115:E117)</f>
        <v>1272833.3333333333</v>
      </c>
      <c r="F118" s="15">
        <f>SUM(F115:F117)</f>
        <v>1688000</v>
      </c>
      <c r="G118" s="15">
        <f>SUM(G115:G117)</f>
        <v>1336533.3333333333</v>
      </c>
      <c r="H118" s="2"/>
      <c r="I118" s="2"/>
      <c r="J118" s="2"/>
      <c r="K118" s="2"/>
    </row>
    <row r="119" ht="30.75" customHeight="1">
      <c r="A119" s="117" t="s">
        <v>63</v>
      </c>
    </row>
    <row r="120" spans="1:11" ht="30.75" customHeight="1" thickBot="1">
      <c r="A120" s="118"/>
      <c r="B120" s="2"/>
      <c r="C120" s="2"/>
      <c r="D120" s="2"/>
      <c r="E120" s="2"/>
      <c r="F120" s="2"/>
      <c r="G120" s="2"/>
      <c r="H120" s="2"/>
      <c r="I120" s="2"/>
      <c r="J120" s="2"/>
      <c r="K120" s="2"/>
    </row>
    <row r="121" spans="1:11" ht="30.75" customHeight="1">
      <c r="A121" s="223" t="s">
        <v>25</v>
      </c>
      <c r="B121" s="2"/>
      <c r="C121" s="2"/>
      <c r="D121" s="2"/>
      <c r="E121" s="2"/>
      <c r="F121" s="2"/>
      <c r="G121" s="2"/>
      <c r="H121" s="2"/>
      <c r="I121" s="2"/>
      <c r="J121" s="2"/>
      <c r="K121" s="2"/>
    </row>
    <row r="122" spans="1:11" ht="30.75" customHeight="1" thickBot="1">
      <c r="A122" s="162"/>
      <c r="B122" s="2"/>
      <c r="C122" s="2"/>
      <c r="D122" s="2"/>
      <c r="E122" s="2"/>
      <c r="F122" s="2"/>
      <c r="G122" s="2"/>
      <c r="H122" s="2"/>
      <c r="I122" s="2"/>
      <c r="J122" s="2"/>
      <c r="K122" s="2"/>
    </row>
    <row r="123" spans="1:11" ht="30.75" customHeight="1" thickBot="1">
      <c r="A123" s="97">
        <f>Notes!A23</f>
        <v>20</v>
      </c>
      <c r="B123" s="209" t="s">
        <v>64</v>
      </c>
      <c r="C123" s="209"/>
      <c r="D123" s="119">
        <v>25000</v>
      </c>
      <c r="E123" s="2"/>
      <c r="F123" s="2"/>
      <c r="G123" s="2"/>
      <c r="H123" s="2"/>
      <c r="I123" s="2"/>
      <c r="J123" s="2"/>
      <c r="K123" s="2"/>
    </row>
    <row r="124" spans="1:11" ht="30.75" customHeight="1">
      <c r="A124" s="99">
        <f>Notes!A24</f>
        <v>21</v>
      </c>
      <c r="B124" s="206" t="s">
        <v>65</v>
      </c>
      <c r="C124" s="206"/>
      <c r="D124" s="119">
        <v>40000</v>
      </c>
      <c r="E124" s="2"/>
      <c r="F124" s="2"/>
      <c r="G124" s="2"/>
      <c r="H124" s="2"/>
      <c r="I124" s="2"/>
      <c r="J124" s="2"/>
      <c r="K124" s="2"/>
    </row>
    <row r="125" spans="1:11" ht="30.75" customHeight="1">
      <c r="A125" s="92">
        <f>Notes!A25</f>
        <v>22</v>
      </c>
      <c r="B125" s="205" t="s">
        <v>95</v>
      </c>
      <c r="C125" s="205"/>
      <c r="D125" s="119">
        <v>25000</v>
      </c>
      <c r="E125" s="2"/>
      <c r="F125" s="2"/>
      <c r="G125" s="2"/>
      <c r="H125" s="2"/>
      <c r="I125" s="2"/>
      <c r="J125" s="2"/>
      <c r="K125" s="2"/>
    </row>
    <row r="126" spans="1:11" ht="30.75" customHeight="1" thickBot="1">
      <c r="A126" s="2"/>
      <c r="B126" s="2"/>
      <c r="C126" s="2"/>
      <c r="D126" s="2"/>
      <c r="E126" s="2"/>
      <c r="F126" s="2"/>
      <c r="G126" s="2"/>
      <c r="H126" s="2"/>
      <c r="I126" s="2"/>
      <c r="J126" s="2"/>
      <c r="K126" s="2"/>
    </row>
    <row r="127" spans="1:11" ht="30.75" customHeight="1" thickBot="1">
      <c r="A127" s="2"/>
      <c r="B127" s="34"/>
      <c r="C127" s="34"/>
      <c r="D127" s="191" t="s">
        <v>90</v>
      </c>
      <c r="E127" s="192"/>
      <c r="F127" s="193"/>
      <c r="G127" s="218" t="s">
        <v>93</v>
      </c>
      <c r="H127" s="219"/>
      <c r="I127" s="220"/>
      <c r="J127" s="120"/>
      <c r="K127" s="160"/>
    </row>
    <row r="128" spans="1:11" ht="30.75" customHeight="1" thickBot="1">
      <c r="A128" s="2"/>
      <c r="B128" s="2"/>
      <c r="C128" s="2"/>
      <c r="D128" s="194" t="s">
        <v>66</v>
      </c>
      <c r="E128" s="194"/>
      <c r="F128" s="195" t="s">
        <v>67</v>
      </c>
      <c r="G128" s="199" t="s">
        <v>66</v>
      </c>
      <c r="H128" s="199"/>
      <c r="I128" s="175" t="s">
        <v>67</v>
      </c>
      <c r="J128" s="120"/>
      <c r="K128" s="160"/>
    </row>
    <row r="129" spans="1:11" ht="30.75" customHeight="1" thickBot="1">
      <c r="A129" s="111"/>
      <c r="B129" s="69" t="s">
        <v>69</v>
      </c>
      <c r="C129" s="86" t="s">
        <v>70</v>
      </c>
      <c r="D129" s="121" t="s">
        <v>27</v>
      </c>
      <c r="E129" s="86" t="s">
        <v>39</v>
      </c>
      <c r="F129" s="195"/>
      <c r="G129" s="121" t="s">
        <v>27</v>
      </c>
      <c r="H129" s="86" t="s">
        <v>39</v>
      </c>
      <c r="I129" s="175"/>
      <c r="J129" s="120"/>
      <c r="K129" s="35"/>
    </row>
    <row r="130" spans="1:11" ht="30.75" customHeight="1">
      <c r="A130" s="97">
        <f>Notes!A30</f>
        <v>27</v>
      </c>
      <c r="B130" s="202" t="s">
        <v>71</v>
      </c>
      <c r="C130" s="202"/>
      <c r="D130" s="37">
        <v>0</v>
      </c>
      <c r="E130" s="37">
        <v>0</v>
      </c>
      <c r="F130" s="37">
        <v>10</v>
      </c>
      <c r="G130" s="37">
        <v>0</v>
      </c>
      <c r="H130" s="37">
        <v>0</v>
      </c>
      <c r="I130" s="37">
        <v>0</v>
      </c>
      <c r="J130" s="120"/>
      <c r="K130" s="38"/>
    </row>
    <row r="131" spans="1:11" ht="30.75" customHeight="1">
      <c r="A131" s="99">
        <f>Notes!A30</f>
        <v>27</v>
      </c>
      <c r="B131" s="206" t="s">
        <v>72</v>
      </c>
      <c r="C131" s="206"/>
      <c r="D131" s="37">
        <v>0</v>
      </c>
      <c r="E131" s="37">
        <v>0</v>
      </c>
      <c r="F131" s="37">
        <v>15</v>
      </c>
      <c r="G131" s="37">
        <v>0</v>
      </c>
      <c r="H131" s="37">
        <v>0</v>
      </c>
      <c r="I131" s="37">
        <v>0</v>
      </c>
      <c r="J131" s="120"/>
      <c r="K131" s="38"/>
    </row>
    <row r="132" spans="1:11" ht="30.75" customHeight="1">
      <c r="A132" s="99">
        <f>Notes!A30</f>
        <v>27</v>
      </c>
      <c r="B132" s="206" t="s">
        <v>58</v>
      </c>
      <c r="C132" s="206"/>
      <c r="D132" s="37">
        <v>0</v>
      </c>
      <c r="E132" s="37">
        <v>0</v>
      </c>
      <c r="F132" s="37">
        <v>0</v>
      </c>
      <c r="G132" s="37">
        <v>0</v>
      </c>
      <c r="H132" s="37">
        <v>0</v>
      </c>
      <c r="I132" s="37">
        <v>0</v>
      </c>
      <c r="J132" s="120"/>
      <c r="K132" s="38"/>
    </row>
    <row r="133" spans="1:11" ht="30.75" customHeight="1">
      <c r="A133" s="99">
        <f>Notes!A30</f>
        <v>27</v>
      </c>
      <c r="B133" s="206" t="s">
        <v>73</v>
      </c>
      <c r="C133" s="206"/>
      <c r="D133" s="37">
        <v>0</v>
      </c>
      <c r="E133" s="37">
        <v>0</v>
      </c>
      <c r="F133" s="37">
        <v>5</v>
      </c>
      <c r="G133" s="37">
        <v>0</v>
      </c>
      <c r="H133" s="37">
        <v>0</v>
      </c>
      <c r="I133" s="37">
        <v>0</v>
      </c>
      <c r="J133" s="120"/>
      <c r="K133" s="38"/>
    </row>
    <row r="134" spans="1:11" ht="30.75" customHeight="1">
      <c r="A134" s="99">
        <f>Notes!A29</f>
        <v>26</v>
      </c>
      <c r="B134" s="215" t="s">
        <v>185</v>
      </c>
      <c r="C134" s="216"/>
      <c r="D134" s="37">
        <v>0</v>
      </c>
      <c r="E134" s="37">
        <v>0</v>
      </c>
      <c r="F134" s="37">
        <v>0</v>
      </c>
      <c r="G134" s="37">
        <v>0</v>
      </c>
      <c r="H134" s="37">
        <v>0</v>
      </c>
      <c r="I134" s="37">
        <v>0</v>
      </c>
      <c r="J134" s="120"/>
      <c r="K134" s="38"/>
    </row>
    <row r="135" spans="1:11" ht="30.75" customHeight="1">
      <c r="A135" s="99">
        <f>Notes!A19</f>
        <v>16</v>
      </c>
      <c r="B135" s="201" t="s">
        <v>34</v>
      </c>
      <c r="C135" s="201"/>
      <c r="D135" s="39">
        <f aca="true" t="shared" si="6" ref="D135:I135">SUM(D136:D140)</f>
        <v>125</v>
      </c>
      <c r="E135" s="39">
        <f t="shared" si="6"/>
        <v>0</v>
      </c>
      <c r="F135" s="39">
        <f t="shared" si="6"/>
        <v>30</v>
      </c>
      <c r="G135" s="39">
        <f t="shared" si="6"/>
        <v>125</v>
      </c>
      <c r="H135" s="39">
        <f t="shared" si="6"/>
        <v>46</v>
      </c>
      <c r="I135" s="39">
        <f t="shared" si="6"/>
        <v>30</v>
      </c>
      <c r="J135" s="120"/>
      <c r="K135" s="122"/>
    </row>
    <row r="136" spans="1:11" ht="30.75" customHeight="1">
      <c r="A136" s="99">
        <f>Notes!A21</f>
        <v>18</v>
      </c>
      <c r="B136" s="2"/>
      <c r="C136" s="36" t="s">
        <v>33</v>
      </c>
      <c r="D136" s="37">
        <v>25</v>
      </c>
      <c r="E136" s="37">
        <v>0</v>
      </c>
      <c r="F136" s="37">
        <v>10</v>
      </c>
      <c r="G136" s="37">
        <v>25</v>
      </c>
      <c r="H136" s="37">
        <v>13</v>
      </c>
      <c r="I136" s="37">
        <v>10</v>
      </c>
      <c r="J136" s="120"/>
      <c r="K136" s="38"/>
    </row>
    <row r="137" spans="1:11" ht="30.75" customHeight="1">
      <c r="A137" s="99">
        <f>Notes!A21</f>
        <v>18</v>
      </c>
      <c r="B137" s="2"/>
      <c r="C137" s="36" t="s">
        <v>80</v>
      </c>
      <c r="D137" s="37">
        <v>60</v>
      </c>
      <c r="E137" s="37">
        <v>0</v>
      </c>
      <c r="F137" s="37">
        <v>15</v>
      </c>
      <c r="G137" s="37">
        <v>60</v>
      </c>
      <c r="H137" s="37">
        <v>13</v>
      </c>
      <c r="I137" s="37">
        <v>15</v>
      </c>
      <c r="J137" s="120"/>
      <c r="K137" s="38"/>
    </row>
    <row r="138" spans="1:11" ht="30.75" customHeight="1">
      <c r="A138" s="99">
        <f>Notes!A21</f>
        <v>18</v>
      </c>
      <c r="B138" s="2"/>
      <c r="C138" s="36" t="s">
        <v>96</v>
      </c>
      <c r="D138" s="37">
        <v>0</v>
      </c>
      <c r="E138" s="37">
        <v>0</v>
      </c>
      <c r="F138" s="37">
        <v>0</v>
      </c>
      <c r="G138" s="37">
        <v>0</v>
      </c>
      <c r="H138" s="37">
        <v>0</v>
      </c>
      <c r="I138" s="37">
        <v>0</v>
      </c>
      <c r="J138" s="120"/>
      <c r="K138" s="38"/>
    </row>
    <row r="139" spans="1:11" ht="30.75" customHeight="1">
      <c r="A139" s="99">
        <f>Notes!A21</f>
        <v>18</v>
      </c>
      <c r="B139" s="2"/>
      <c r="C139" s="36" t="s">
        <v>97</v>
      </c>
      <c r="D139" s="37">
        <v>40</v>
      </c>
      <c r="E139" s="37">
        <v>0</v>
      </c>
      <c r="F139" s="37">
        <v>5</v>
      </c>
      <c r="G139" s="37">
        <v>40</v>
      </c>
      <c r="H139" s="37">
        <v>20</v>
      </c>
      <c r="I139" s="37">
        <v>5</v>
      </c>
      <c r="J139" s="120"/>
      <c r="K139" s="38"/>
    </row>
    <row r="140" spans="1:11" ht="30.75" customHeight="1">
      <c r="A140" s="99">
        <f>Notes!A21</f>
        <v>18</v>
      </c>
      <c r="B140" s="2"/>
      <c r="C140" s="36" t="s">
        <v>98</v>
      </c>
      <c r="D140" s="37">
        <v>0</v>
      </c>
      <c r="E140" s="37">
        <v>0</v>
      </c>
      <c r="F140" s="37">
        <v>0</v>
      </c>
      <c r="G140" s="37">
        <v>0</v>
      </c>
      <c r="H140" s="37">
        <v>0</v>
      </c>
      <c r="I140" s="37">
        <v>0</v>
      </c>
      <c r="J140" s="120"/>
      <c r="K140" s="38"/>
    </row>
    <row r="141" spans="1:11" ht="30.75" customHeight="1">
      <c r="A141" s="99">
        <f>Notes!A28</f>
        <v>25</v>
      </c>
      <c r="B141" s="202" t="s">
        <v>99</v>
      </c>
      <c r="C141" s="202"/>
      <c r="D141" s="37">
        <v>0</v>
      </c>
      <c r="E141" s="37">
        <v>0</v>
      </c>
      <c r="F141" s="37">
        <v>0</v>
      </c>
      <c r="G141" s="37">
        <v>0</v>
      </c>
      <c r="H141" s="37">
        <v>0</v>
      </c>
      <c r="I141" s="37">
        <v>0</v>
      </c>
      <c r="J141" s="120"/>
      <c r="K141" s="38"/>
    </row>
    <row r="142" spans="1:11" ht="30.75" customHeight="1">
      <c r="A142" s="99">
        <f>Notes!A31</f>
        <v>28</v>
      </c>
      <c r="B142" s="202" t="s">
        <v>74</v>
      </c>
      <c r="C142" s="202"/>
      <c r="D142" s="37">
        <v>0</v>
      </c>
      <c r="E142" s="37">
        <v>0</v>
      </c>
      <c r="F142" s="37">
        <v>0</v>
      </c>
      <c r="G142" s="37">
        <v>0</v>
      </c>
      <c r="H142" s="37">
        <v>0</v>
      </c>
      <c r="I142" s="37">
        <v>0</v>
      </c>
      <c r="J142" s="120"/>
      <c r="K142" s="38"/>
    </row>
    <row r="143" spans="1:11" ht="30.75" customHeight="1">
      <c r="A143" s="99">
        <f>Notes!A30</f>
        <v>27</v>
      </c>
      <c r="B143" s="206" t="s">
        <v>75</v>
      </c>
      <c r="C143" s="206"/>
      <c r="D143" s="37">
        <v>0</v>
      </c>
      <c r="E143" s="37">
        <v>0</v>
      </c>
      <c r="F143" s="37">
        <v>0</v>
      </c>
      <c r="G143" s="37">
        <v>0</v>
      </c>
      <c r="H143" s="37">
        <v>0</v>
      </c>
      <c r="I143" s="37">
        <v>0</v>
      </c>
      <c r="J143" s="120"/>
      <c r="K143" s="38"/>
    </row>
    <row r="144" spans="1:11" ht="30.75" customHeight="1">
      <c r="A144" s="99">
        <f>Notes!A30</f>
        <v>27</v>
      </c>
      <c r="B144" s="202" t="s">
        <v>44</v>
      </c>
      <c r="C144" s="202"/>
      <c r="D144" s="37">
        <v>0</v>
      </c>
      <c r="E144" s="37">
        <v>100</v>
      </c>
      <c r="F144" s="37">
        <v>0</v>
      </c>
      <c r="G144" s="37">
        <v>0</v>
      </c>
      <c r="H144" s="37">
        <v>100</v>
      </c>
      <c r="I144" s="37">
        <v>0</v>
      </c>
      <c r="J144" s="120"/>
      <c r="K144" s="38"/>
    </row>
    <row r="145" spans="1:11" ht="30.75" customHeight="1" thickBot="1">
      <c r="A145" s="92">
        <f>Notes!A30</f>
        <v>27</v>
      </c>
      <c r="B145" s="207" t="s">
        <v>45</v>
      </c>
      <c r="C145" s="207"/>
      <c r="D145" s="37">
        <v>200</v>
      </c>
      <c r="E145" s="37">
        <v>100</v>
      </c>
      <c r="F145" s="37">
        <v>0</v>
      </c>
      <c r="G145" s="37">
        <v>200</v>
      </c>
      <c r="H145" s="37">
        <v>100</v>
      </c>
      <c r="I145" s="37">
        <v>0</v>
      </c>
      <c r="J145" s="120"/>
      <c r="K145" s="38"/>
    </row>
    <row r="146" spans="1:11" ht="30.75" customHeight="1" thickBot="1">
      <c r="A146" s="111"/>
      <c r="B146" s="123"/>
      <c r="C146" s="123"/>
      <c r="D146" s="38"/>
      <c r="E146" s="124"/>
      <c r="F146" s="38"/>
      <c r="G146" s="38"/>
      <c r="H146" s="124"/>
      <c r="I146" s="38"/>
      <c r="J146" s="120"/>
      <c r="K146" s="38"/>
    </row>
    <row r="147" spans="1:11" ht="30.75" customHeight="1" thickBot="1">
      <c r="A147" s="111"/>
      <c r="B147" s="123"/>
      <c r="C147" s="123"/>
      <c r="D147" s="194" t="s">
        <v>90</v>
      </c>
      <c r="E147" s="194"/>
      <c r="F147" s="194"/>
      <c r="G147" s="200"/>
      <c r="H147" s="199" t="s">
        <v>93</v>
      </c>
      <c r="I147" s="199"/>
      <c r="J147" s="199"/>
      <c r="K147" s="203"/>
    </row>
    <row r="148" spans="1:11" ht="30.75" customHeight="1" thickBot="1">
      <c r="A148" s="2"/>
      <c r="B148" s="2"/>
      <c r="C148" s="2"/>
      <c r="D148" s="196" t="s">
        <v>66</v>
      </c>
      <c r="E148" s="196"/>
      <c r="F148" s="197" t="s">
        <v>67</v>
      </c>
      <c r="G148" s="195" t="s">
        <v>68</v>
      </c>
      <c r="H148" s="198" t="s">
        <v>66</v>
      </c>
      <c r="I148" s="198"/>
      <c r="J148" s="204" t="s">
        <v>67</v>
      </c>
      <c r="K148" s="195" t="s">
        <v>68</v>
      </c>
    </row>
    <row r="149" spans="1:11" ht="30.75" customHeight="1" thickBot="1">
      <c r="A149" s="97">
        <f>Notes!A17</f>
        <v>14</v>
      </c>
      <c r="B149" s="91" t="s">
        <v>76</v>
      </c>
      <c r="C149" s="91" t="s">
        <v>77</v>
      </c>
      <c r="D149" s="121" t="s">
        <v>27</v>
      </c>
      <c r="E149" s="86" t="s">
        <v>39</v>
      </c>
      <c r="F149" s="195"/>
      <c r="G149" s="195"/>
      <c r="H149" s="121" t="s">
        <v>27</v>
      </c>
      <c r="I149" s="86" t="s">
        <v>39</v>
      </c>
      <c r="J149" s="175"/>
      <c r="K149" s="195"/>
    </row>
    <row r="150" spans="1:11" ht="30.75" customHeight="1">
      <c r="A150" s="97">
        <f>Notes!A18</f>
        <v>15</v>
      </c>
      <c r="B150" s="208" t="s">
        <v>33</v>
      </c>
      <c r="C150" s="208"/>
      <c r="D150" s="37">
        <v>100</v>
      </c>
      <c r="E150" s="37">
        <v>0</v>
      </c>
      <c r="F150" s="37">
        <v>10</v>
      </c>
      <c r="G150" s="37">
        <v>2</v>
      </c>
      <c r="H150" s="37">
        <v>100</v>
      </c>
      <c r="I150" s="37">
        <v>0</v>
      </c>
      <c r="J150" s="37">
        <v>10</v>
      </c>
      <c r="K150" s="37">
        <v>2</v>
      </c>
    </row>
    <row r="151" spans="1:11" ht="30.75" customHeight="1">
      <c r="A151" s="99">
        <f>Notes!A19</f>
        <v>16</v>
      </c>
      <c r="B151" s="212" t="s">
        <v>78</v>
      </c>
      <c r="C151" s="212"/>
      <c r="D151" s="39">
        <f aca="true" t="shared" si="7" ref="D151:K151">SUM(D152:D155)</f>
        <v>250</v>
      </c>
      <c r="E151" s="39">
        <f t="shared" si="7"/>
        <v>0</v>
      </c>
      <c r="F151" s="39">
        <f t="shared" si="7"/>
        <v>30</v>
      </c>
      <c r="G151" s="39">
        <f t="shared" si="7"/>
        <v>12</v>
      </c>
      <c r="H151" s="39">
        <f t="shared" si="7"/>
        <v>250</v>
      </c>
      <c r="I151" s="39">
        <f t="shared" si="7"/>
        <v>0</v>
      </c>
      <c r="J151" s="39">
        <f t="shared" si="7"/>
        <v>30</v>
      </c>
      <c r="K151" s="39">
        <f t="shared" si="7"/>
        <v>12</v>
      </c>
    </row>
    <row r="152" spans="1:11" ht="30.75" customHeight="1">
      <c r="A152" s="99">
        <f>Notes!A18</f>
        <v>15</v>
      </c>
      <c r="B152" s="2"/>
      <c r="C152" s="36" t="s">
        <v>79</v>
      </c>
      <c r="D152" s="37">
        <v>250</v>
      </c>
      <c r="E152" s="37">
        <v>0</v>
      </c>
      <c r="F152" s="37">
        <v>30</v>
      </c>
      <c r="G152" s="37">
        <v>3</v>
      </c>
      <c r="H152" s="37">
        <v>250</v>
      </c>
      <c r="I152" s="37">
        <v>0</v>
      </c>
      <c r="J152" s="37">
        <v>30</v>
      </c>
      <c r="K152" s="37">
        <v>3</v>
      </c>
    </row>
    <row r="153" spans="1:11" ht="30.75" customHeight="1">
      <c r="A153" s="99">
        <f>Notes!A18</f>
        <v>15</v>
      </c>
      <c r="B153" s="2"/>
      <c r="C153" s="36" t="s">
        <v>80</v>
      </c>
      <c r="D153" s="37">
        <v>0</v>
      </c>
      <c r="E153" s="37">
        <v>0</v>
      </c>
      <c r="F153" s="37">
        <v>0</v>
      </c>
      <c r="G153" s="37">
        <v>2</v>
      </c>
      <c r="H153" s="37">
        <v>0</v>
      </c>
      <c r="I153" s="37">
        <v>0</v>
      </c>
      <c r="J153" s="37">
        <v>0</v>
      </c>
      <c r="K153" s="37">
        <v>2</v>
      </c>
    </row>
    <row r="154" spans="1:11" ht="30.75" customHeight="1">
      <c r="A154" s="99">
        <f>Notes!A18</f>
        <v>15</v>
      </c>
      <c r="B154" s="2"/>
      <c r="C154" s="36" t="s">
        <v>81</v>
      </c>
      <c r="D154" s="37">
        <v>0</v>
      </c>
      <c r="E154" s="37">
        <v>0</v>
      </c>
      <c r="F154" s="37">
        <v>0</v>
      </c>
      <c r="G154" s="37">
        <v>5</v>
      </c>
      <c r="H154" s="37">
        <v>0</v>
      </c>
      <c r="I154" s="37">
        <v>0</v>
      </c>
      <c r="J154" s="37">
        <v>0</v>
      </c>
      <c r="K154" s="37">
        <v>5</v>
      </c>
    </row>
    <row r="155" spans="1:11" ht="30.75" customHeight="1">
      <c r="A155" s="99">
        <f>Notes!A18</f>
        <v>15</v>
      </c>
      <c r="B155" s="2"/>
      <c r="C155" s="36" t="s">
        <v>82</v>
      </c>
      <c r="D155" s="37">
        <v>0</v>
      </c>
      <c r="E155" s="37">
        <v>0</v>
      </c>
      <c r="F155" s="37">
        <v>0</v>
      </c>
      <c r="G155" s="37">
        <v>2</v>
      </c>
      <c r="H155" s="37">
        <v>0</v>
      </c>
      <c r="I155" s="37">
        <v>0</v>
      </c>
      <c r="J155" s="37">
        <v>0</v>
      </c>
      <c r="K155" s="37">
        <v>2</v>
      </c>
    </row>
    <row r="156" spans="1:11" ht="30.75" customHeight="1">
      <c r="A156" s="99">
        <f>Notes!A19</f>
        <v>16</v>
      </c>
      <c r="B156" s="201" t="s">
        <v>34</v>
      </c>
      <c r="C156" s="201"/>
      <c r="D156" s="39">
        <f aca="true" t="shared" si="8" ref="D156:K156">SUM(D157:D162)</f>
        <v>0</v>
      </c>
      <c r="E156" s="39">
        <f t="shared" si="8"/>
        <v>0</v>
      </c>
      <c r="F156" s="39">
        <f t="shared" si="8"/>
        <v>0</v>
      </c>
      <c r="G156" s="39">
        <f t="shared" si="8"/>
        <v>0</v>
      </c>
      <c r="H156" s="39">
        <f t="shared" si="8"/>
        <v>0</v>
      </c>
      <c r="I156" s="39">
        <f t="shared" si="8"/>
        <v>0</v>
      </c>
      <c r="J156" s="39">
        <f t="shared" si="8"/>
        <v>0</v>
      </c>
      <c r="K156" s="39">
        <f t="shared" si="8"/>
        <v>0</v>
      </c>
    </row>
    <row r="157" spans="1:11" ht="30.75" customHeight="1">
      <c r="A157" s="99">
        <f>Notes!A20</f>
        <v>17</v>
      </c>
      <c r="B157" s="2"/>
      <c r="C157" s="36" t="s">
        <v>100</v>
      </c>
      <c r="D157" s="37">
        <v>0</v>
      </c>
      <c r="E157" s="37">
        <v>0</v>
      </c>
      <c r="F157" s="37">
        <v>0</v>
      </c>
      <c r="G157" s="37">
        <v>0</v>
      </c>
      <c r="H157" s="37">
        <v>0</v>
      </c>
      <c r="I157" s="37">
        <v>0</v>
      </c>
      <c r="J157" s="37">
        <v>0</v>
      </c>
      <c r="K157" s="37">
        <v>0</v>
      </c>
    </row>
    <row r="158" spans="1:11" ht="30.75" customHeight="1">
      <c r="A158" s="99">
        <f>Notes!A20</f>
        <v>17</v>
      </c>
      <c r="B158" s="2"/>
      <c r="C158" s="36" t="s">
        <v>101</v>
      </c>
      <c r="D158" s="37">
        <v>0</v>
      </c>
      <c r="E158" s="37">
        <v>0</v>
      </c>
      <c r="F158" s="37">
        <v>0</v>
      </c>
      <c r="G158" s="37">
        <v>0</v>
      </c>
      <c r="H158" s="37">
        <v>0</v>
      </c>
      <c r="I158" s="37">
        <v>0</v>
      </c>
      <c r="J158" s="37">
        <v>0</v>
      </c>
      <c r="K158" s="37">
        <v>0</v>
      </c>
    </row>
    <row r="159" spans="1:11" ht="30.75" customHeight="1">
      <c r="A159" s="99">
        <f>Notes!A20</f>
        <v>17</v>
      </c>
      <c r="B159" s="2"/>
      <c r="C159" s="36" t="s">
        <v>102</v>
      </c>
      <c r="D159" s="37">
        <v>0</v>
      </c>
      <c r="E159" s="37">
        <v>0</v>
      </c>
      <c r="F159" s="37">
        <v>0</v>
      </c>
      <c r="G159" s="37">
        <v>0</v>
      </c>
      <c r="H159" s="37">
        <v>0</v>
      </c>
      <c r="I159" s="37">
        <v>0</v>
      </c>
      <c r="J159" s="37">
        <v>0</v>
      </c>
      <c r="K159" s="37">
        <v>0</v>
      </c>
    </row>
    <row r="160" spans="1:11" ht="30.75" customHeight="1">
      <c r="A160" s="99">
        <f>Notes!A20</f>
        <v>17</v>
      </c>
      <c r="B160" s="2"/>
      <c r="C160" s="36" t="s">
        <v>97</v>
      </c>
      <c r="D160" s="37">
        <v>0</v>
      </c>
      <c r="E160" s="37">
        <v>0</v>
      </c>
      <c r="F160" s="37">
        <v>0</v>
      </c>
      <c r="G160" s="37">
        <v>0</v>
      </c>
      <c r="H160" s="37">
        <v>0</v>
      </c>
      <c r="I160" s="37">
        <v>0</v>
      </c>
      <c r="J160" s="37">
        <v>0</v>
      </c>
      <c r="K160" s="37">
        <v>0</v>
      </c>
    </row>
    <row r="161" spans="1:11" ht="30.75" customHeight="1">
      <c r="A161" s="99">
        <f>Notes!A20</f>
        <v>17</v>
      </c>
      <c r="B161" s="2"/>
      <c r="C161" s="36" t="s">
        <v>103</v>
      </c>
      <c r="D161" s="37">
        <v>0</v>
      </c>
      <c r="E161" s="37">
        <v>0</v>
      </c>
      <c r="F161" s="37">
        <v>0</v>
      </c>
      <c r="G161" s="37">
        <v>0</v>
      </c>
      <c r="H161" s="37">
        <v>0</v>
      </c>
      <c r="I161" s="37">
        <v>0</v>
      </c>
      <c r="J161" s="37">
        <v>0</v>
      </c>
      <c r="K161" s="37">
        <v>0</v>
      </c>
    </row>
    <row r="162" spans="1:11" ht="30.75" customHeight="1">
      <c r="A162" s="99">
        <f>Notes!A20</f>
        <v>17</v>
      </c>
      <c r="B162" s="2"/>
      <c r="C162" s="36" t="s">
        <v>104</v>
      </c>
      <c r="D162" s="37">
        <v>0</v>
      </c>
      <c r="E162" s="37">
        <v>0</v>
      </c>
      <c r="F162" s="37">
        <v>0</v>
      </c>
      <c r="G162" s="37">
        <v>0</v>
      </c>
      <c r="H162" s="37">
        <v>0</v>
      </c>
      <c r="I162" s="37">
        <v>0</v>
      </c>
      <c r="J162" s="37">
        <v>0</v>
      </c>
      <c r="K162" s="37">
        <v>0</v>
      </c>
    </row>
    <row r="163" spans="1:11" ht="30.75" customHeight="1">
      <c r="A163" s="99">
        <f>Notes!A18</f>
        <v>15</v>
      </c>
      <c r="B163" s="202" t="s">
        <v>75</v>
      </c>
      <c r="C163" s="202"/>
      <c r="D163" s="37">
        <v>20</v>
      </c>
      <c r="E163" s="37">
        <v>6</v>
      </c>
      <c r="F163" s="37">
        <v>0</v>
      </c>
      <c r="G163" s="37">
        <v>75</v>
      </c>
      <c r="H163" s="37">
        <v>20</v>
      </c>
      <c r="I163" s="37">
        <v>6</v>
      </c>
      <c r="J163" s="37">
        <v>0</v>
      </c>
      <c r="K163" s="37">
        <v>75</v>
      </c>
    </row>
    <row r="164" spans="1:11" ht="30.75" customHeight="1">
      <c r="A164" s="99">
        <f>Notes!A18</f>
        <v>15</v>
      </c>
      <c r="B164" s="202" t="s">
        <v>44</v>
      </c>
      <c r="C164" s="202"/>
      <c r="D164" s="37">
        <v>200</v>
      </c>
      <c r="E164" s="37">
        <v>180</v>
      </c>
      <c r="F164" s="37">
        <v>0</v>
      </c>
      <c r="G164" s="37">
        <v>1</v>
      </c>
      <c r="H164" s="37">
        <v>200</v>
      </c>
      <c r="I164" s="37">
        <v>180</v>
      </c>
      <c r="J164" s="37">
        <v>0</v>
      </c>
      <c r="K164" s="37">
        <v>1</v>
      </c>
    </row>
    <row r="165" spans="1:11" ht="30.75" customHeight="1" thickBot="1">
      <c r="A165" s="92">
        <f>Notes!A18</f>
        <v>15</v>
      </c>
      <c r="B165" s="207" t="s">
        <v>83</v>
      </c>
      <c r="C165" s="207"/>
      <c r="D165" s="37">
        <v>10</v>
      </c>
      <c r="E165" s="37">
        <v>5</v>
      </c>
      <c r="F165" s="37">
        <v>0</v>
      </c>
      <c r="G165" s="37">
        <v>1</v>
      </c>
      <c r="H165" s="37">
        <v>10</v>
      </c>
      <c r="I165" s="37">
        <v>5</v>
      </c>
      <c r="J165" s="37">
        <v>0</v>
      </c>
      <c r="K165" s="37">
        <v>1</v>
      </c>
    </row>
    <row r="166" ht="30.75" customHeight="1" hidden="1"/>
    <row r="167" ht="30.75" customHeight="1" hidden="1"/>
    <row r="168" ht="22.5" customHeight="1" hidden="1"/>
    <row r="169" spans="2:6" ht="30.75" customHeight="1" hidden="1">
      <c r="B169" s="155" t="s">
        <v>19</v>
      </c>
      <c r="C169" s="155"/>
      <c r="D169" s="155"/>
      <c r="E169" s="155"/>
      <c r="F169" s="155"/>
    </row>
    <row r="170" spans="2:6" ht="22.5" customHeight="1" hidden="1">
      <c r="B170" s="40">
        <v>1</v>
      </c>
      <c r="C170" s="40">
        <v>2</v>
      </c>
      <c r="D170" s="40">
        <v>3</v>
      </c>
      <c r="E170" s="40">
        <v>4</v>
      </c>
      <c r="F170" s="40">
        <v>5</v>
      </c>
    </row>
    <row r="171" spans="2:8" ht="22.5" customHeight="1" hidden="1">
      <c r="B171" s="40">
        <f aca="true" t="shared" si="9" ref="B171:F173">B177+B188</f>
        <v>1333753.5714285714</v>
      </c>
      <c r="C171" s="40">
        <f t="shared" si="9"/>
        <v>1333753.5714285714</v>
      </c>
      <c r="D171" s="40">
        <f t="shared" si="9"/>
        <v>2365753.5714285714</v>
      </c>
      <c r="E171" s="40">
        <f t="shared" si="9"/>
        <v>618128.5714285714</v>
      </c>
      <c r="F171" s="40">
        <f t="shared" si="9"/>
        <v>1449378.5714285714</v>
      </c>
      <c r="H171" s="40" t="s">
        <v>84</v>
      </c>
    </row>
    <row r="172" spans="2:8" ht="22.5" customHeight="1" hidden="1">
      <c r="B172" s="40">
        <f t="shared" si="9"/>
        <v>1224400</v>
      </c>
      <c r="C172" s="40">
        <f t="shared" si="9"/>
        <v>1224400</v>
      </c>
      <c r="D172" s="40">
        <f t="shared" si="9"/>
        <v>3258100</v>
      </c>
      <c r="E172" s="40">
        <f t="shared" si="9"/>
        <v>1244231</v>
      </c>
      <c r="F172" s="40">
        <f t="shared" si="9"/>
        <v>1244231</v>
      </c>
      <c r="H172" s="40" t="s">
        <v>85</v>
      </c>
    </row>
    <row r="173" spans="2:8" ht="22.5" customHeight="1" hidden="1">
      <c r="B173" s="40">
        <f t="shared" si="9"/>
        <v>4113581.7307692314</v>
      </c>
      <c r="C173" s="40">
        <f t="shared" si="9"/>
        <v>4113581.7307692314</v>
      </c>
      <c r="D173" s="40">
        <f t="shared" si="9"/>
        <v>4159254.807692308</v>
      </c>
      <c r="E173" s="40">
        <f t="shared" si="9"/>
        <v>4069711.538461539</v>
      </c>
      <c r="F173" s="40">
        <f t="shared" si="9"/>
        <v>4111778.8461538465</v>
      </c>
      <c r="H173" s="40" t="s">
        <v>15</v>
      </c>
    </row>
    <row r="174" ht="22.5" customHeight="1" hidden="1"/>
    <row r="175" spans="2:8" ht="22.5" customHeight="1" hidden="1">
      <c r="B175" s="4" t="s">
        <v>86</v>
      </c>
      <c r="C175" s="4"/>
      <c r="E175" s="11"/>
      <c r="F175" s="2"/>
      <c r="G175" s="2"/>
      <c r="H175" s="2"/>
    </row>
    <row r="176" spans="2:8" ht="22.5" customHeight="1" hidden="1">
      <c r="B176" s="40">
        <v>1</v>
      </c>
      <c r="C176" s="40">
        <v>2</v>
      </c>
      <c r="D176" s="40">
        <v>3</v>
      </c>
      <c r="E176" s="40">
        <v>4</v>
      </c>
      <c r="F176" s="40">
        <v>5</v>
      </c>
      <c r="H176" s="2"/>
    </row>
    <row r="177" spans="2:8" ht="22.5" customHeight="1" hidden="1">
      <c r="B177" s="40">
        <f>IF(B176&lt;D180,D32*B183+D71*B184+E32*E180+E71*F180,F32*B183+F71*B184+G32*E180+G71*F180)</f>
        <v>1220125</v>
      </c>
      <c r="C177" s="40">
        <f>IF(C176&lt;D180,D32*C183+D71*C184+E32*E180+E71*F180,F32*C183+F71*C184+G32*E180+G71*F180)</f>
        <v>1220125</v>
      </c>
      <c r="D177" s="40">
        <f>IF(D176&lt;D180,D32*D183+D71*D184+E32*E180+E71*F180,F32*D183+F71*D184+G32*E180+G71*F180)</f>
        <v>2252125</v>
      </c>
      <c r="E177" s="40">
        <f>IF(E176&lt;D180,D32*E183+D71*E184+E32*E180+E71*F180,F32*E183+F71*E184+G32*E180+G71*F180)</f>
        <v>504500</v>
      </c>
      <c r="F177" s="40">
        <f>IF(F176&lt;D180,D32*F183+D71*F184+E32*E180+E71*F180,F32*F183+F71*F184+G32*E180+G71*F180)</f>
        <v>1335750</v>
      </c>
      <c r="H177" s="40" t="s">
        <v>84</v>
      </c>
    </row>
    <row r="178" spans="2:8" ht="22.5" customHeight="1" hidden="1">
      <c r="B178" s="40">
        <f>IF(B176&lt;D180,E33*E180+E72*F180,IF(B176=D180,F33*B183+F72*B184+G33*E180+G72*F180,G33*E180+G72))</f>
        <v>184100</v>
      </c>
      <c r="C178" s="40">
        <f>IF(C176&lt;D180,E33*E180+E72*F180,IF(C176=D180,F33*C183+F72*C184+G33*E180+G72*F180,G33*E180+G72))</f>
        <v>184100</v>
      </c>
      <c r="D178" s="40">
        <f>IF(D176&lt;D180,E33*E180+E72*F180,IF(D176=D180,F33*D183+F72*D184+G33*E180+G72*F180,G33*E180+G72))</f>
        <v>854100</v>
      </c>
      <c r="E178" s="40">
        <f>IF(E176&lt;D180,E33*E180+E72*F180,IF(E176=D180,F33*E183+F72*E184+G33*E180+G72*F180,G33*E180+G72))</f>
        <v>140231</v>
      </c>
      <c r="F178" s="40">
        <f>IF(F176&lt;D180,E33*E180+E72*F180,IF(F176=D180,F33*F183+F72*F184+G33*E180+G72*F180,G33*E180+G72))</f>
        <v>140231</v>
      </c>
      <c r="H178" s="40" t="s">
        <v>85</v>
      </c>
    </row>
    <row r="179" spans="2:8" ht="22.5" customHeight="1" hidden="1">
      <c r="B179" s="40">
        <f>IF(B176&lt;D180,D34*B183+D73*B184+E34*E180+E73*F180,F34*B183+F73*B184+G34*E180+G73*F180)</f>
        <v>4113581.7307692314</v>
      </c>
      <c r="C179" s="40">
        <f>IF(C176&lt;D180,D34*C183+D73*C184+E34*E180+E73*F180,F34*C183+F73*C184+G34*E180+G73*F180)</f>
        <v>4113581.7307692314</v>
      </c>
      <c r="D179" s="40">
        <f>IF(D176&lt;D180,D34*D183+D73*D184+E34*E180+E73*F180,F34*D183+F73*D184+G34*E180+G73*F180)</f>
        <v>4159254.807692308</v>
      </c>
      <c r="E179" s="40">
        <f>IF(E176&lt;D180,D34*E183+D73*E184+E34*E180+E73*F180,F34*E183+F73*E184+G34*E180+G73*F180)</f>
        <v>4069711.538461539</v>
      </c>
      <c r="F179" s="40">
        <f>IF(F176&lt;D180,D34*F183+D73*F184+E34*E180+E73*F180,F34*F183+F73*F184+G34*E180+G73*F180)</f>
        <v>4111778.8461538465</v>
      </c>
      <c r="H179" s="40" t="s">
        <v>15</v>
      </c>
    </row>
    <row r="180" spans="2:8" ht="22.5" customHeight="1" hidden="1">
      <c r="B180" s="1">
        <f>VLOOKUP(C5,desktops,5)</f>
        <v>4</v>
      </c>
      <c r="C180" s="1">
        <f>VLOOKUP(C20,desktops,5)</f>
        <v>4</v>
      </c>
      <c r="D180" s="1">
        <f>Summary!D9</f>
        <v>3</v>
      </c>
      <c r="E180" s="2">
        <f>Summary!D5</f>
        <v>3500</v>
      </c>
      <c r="F180" s="2">
        <f>Summary!D6</f>
        <v>100</v>
      </c>
      <c r="G180" s="2">
        <f>MIN(C180,B180-E15)+D180</f>
        <v>5</v>
      </c>
      <c r="H180" s="2"/>
    </row>
    <row r="181" spans="2:8" ht="22.5" customHeight="1" hidden="1">
      <c r="B181" s="1">
        <f>VLOOKUP(C40,desktops,5)</f>
        <v>4</v>
      </c>
      <c r="C181" s="1">
        <f>VLOOKUP(C57,desktops,5)</f>
        <v>4</v>
      </c>
      <c r="G181" s="2">
        <f>MIN(C181,B181-E52)+D180</f>
        <v>6</v>
      </c>
      <c r="H181" s="2"/>
    </row>
    <row r="182" spans="2:6" ht="22.5" customHeight="1" hidden="1">
      <c r="B182" s="40">
        <v>1</v>
      </c>
      <c r="C182" s="40">
        <v>2</v>
      </c>
      <c r="D182" s="40">
        <v>3</v>
      </c>
      <c r="E182" s="40">
        <v>4</v>
      </c>
      <c r="F182" s="40">
        <v>5</v>
      </c>
    </row>
    <row r="183" spans="2:8" ht="22.5" customHeight="1" hidden="1">
      <c r="B183" s="40">
        <f>IF(C5=C20,E180/B180,IF(B182&lt;D180,E180/B180,IF(B182=D180,E180*(B180-E15)/B180,IF(B182&lt;G180,0,E180/C180))))</f>
        <v>875</v>
      </c>
      <c r="C183" s="40">
        <f>IF(C5=C20,E180/B180,IF(C182&lt;D180,E180/B180,IF(C182=D180,E180*(B180-E15)/B180,IF(C182&lt;G180,0,E180/C180))))</f>
        <v>875</v>
      </c>
      <c r="D183" s="40">
        <f>IF(C5=C20,E180/B180,IF(D182&lt;D180,E180/B180,IF(D182=D180,E180*(B180-E15)/B180,IF(D182&lt;G180,0,E180/C180))))</f>
        <v>1750</v>
      </c>
      <c r="E183" s="40">
        <f>IF(C5=C20,E180/B180,IF(E182&lt;D180,E180/B180,IF(E182=D180,E180*(B180-E15)/B180,IF(E182&lt;G180,0,E180/C180))))</f>
        <v>0</v>
      </c>
      <c r="F183" s="40">
        <f>IF(C5=C20,E180/B180,IF(F182&lt;D180,E180/B180,IF(F182=D180,E180*(B180-E15)/B180,IF(F182&lt;G180,0,E180/C180))))</f>
        <v>875</v>
      </c>
      <c r="H183" s="40" t="s">
        <v>105</v>
      </c>
    </row>
    <row r="184" spans="2:8" ht="22.5" customHeight="1" hidden="1">
      <c r="B184" s="40">
        <f>IF(C40=C57,F180/B181,IF(B182&lt;D180,F180/B181,IF(B182=D180,F180*(B181-E52)/B181,IF(B182&lt;G181,0,F180/C181))))</f>
        <v>25</v>
      </c>
      <c r="C184" s="40">
        <f>IF(C40=C57,F180/B181,IF(C182&lt;D180,F180/B181,IF(C182=D180,F180*(B181-E52)/B181,IF(C182&lt;G181,0,F180/C181))))</f>
        <v>25</v>
      </c>
      <c r="D184" s="40">
        <f>IF(C40=C57,F180/B181,IF(D182&lt;D180,F180/B181,IF(D182=D180,F180*(B181-E52)/B181,IF(D182&lt;G181,0,F180/C181))))</f>
        <v>75</v>
      </c>
      <c r="E184" s="40">
        <f>IF(C40=C57,F180/B181,IF(E182&lt;D180,F180/B181,IF(E182=D180,F180*(B181-E52)/B181,IF(E182&lt;G181,0,F180/C181))))</f>
        <v>0</v>
      </c>
      <c r="F184" s="40">
        <f>IF(C40=C57,F180/B181,IF(F182&lt;D180,F180/B181,IF(F182=D180,F180*(B181-E52)/B181,IF(F182&lt;G181,0,F180/C181))))</f>
        <v>0</v>
      </c>
      <c r="H184" s="40" t="s">
        <v>87</v>
      </c>
    </row>
    <row r="185" spans="2:8" ht="22.5" customHeight="1" hidden="1">
      <c r="B185" s="1"/>
      <c r="C185" s="1"/>
      <c r="D185" s="1"/>
      <c r="E185" s="2"/>
      <c r="F185" s="2"/>
      <c r="G185" s="2"/>
      <c r="H185" s="2"/>
    </row>
    <row r="186" spans="2:8" ht="22.5" customHeight="1" hidden="1">
      <c r="B186" s="4" t="s">
        <v>88</v>
      </c>
      <c r="C186" s="4"/>
      <c r="E186" s="11"/>
      <c r="F186" s="2"/>
      <c r="G186" s="2"/>
      <c r="H186" s="2"/>
    </row>
    <row r="187" spans="2:8" ht="22.5" customHeight="1" hidden="1">
      <c r="B187" s="40">
        <v>1</v>
      </c>
      <c r="C187" s="40">
        <v>2</v>
      </c>
      <c r="D187" s="40">
        <v>3</v>
      </c>
      <c r="E187" s="40">
        <v>4</v>
      </c>
      <c r="F187" s="40">
        <v>5</v>
      </c>
      <c r="H187" s="2"/>
    </row>
    <row r="188" spans="2:8" ht="22.5" customHeight="1" hidden="1">
      <c r="B188" s="1">
        <f>IF(B187&lt;D180,D115/D80+E115,F115/D80+G115)</f>
        <v>113628.57142857142</v>
      </c>
      <c r="C188" s="1">
        <f>IF(C187&lt;D180,D115/D80+E115,F115/D80+G115)</f>
        <v>113628.57142857142</v>
      </c>
      <c r="D188" s="1">
        <f>IF(D187&lt;D180,D115/D80+E115,F115/D80+G115)</f>
        <v>113628.57142857142</v>
      </c>
      <c r="E188" s="1">
        <f>IF(E187&lt;D180,D115/D80+E115,F115/D80+G115)</f>
        <v>113628.57142857142</v>
      </c>
      <c r="F188" s="1">
        <f>IF(F187&lt;D180,D115/D80+E115,F115/D80+G115)</f>
        <v>113628.57142857142</v>
      </c>
      <c r="H188" s="40" t="s">
        <v>84</v>
      </c>
    </row>
    <row r="189" spans="2:8" ht="22.5" customHeight="1" hidden="1">
      <c r="B189" s="1">
        <f>IF(B187&lt;D180,E116,IF(B187=D180,F116+G116,G116))</f>
        <v>1040300</v>
      </c>
      <c r="C189" s="1">
        <f>IF(C187&lt;D180,E116,IF(C187=D180,F116+G116,G116))</f>
        <v>1040300</v>
      </c>
      <c r="D189" s="1">
        <f>IF(D187&lt;D180,E116,IF(D187=D180,F116+G116,G116))</f>
        <v>2404000</v>
      </c>
      <c r="E189" s="1">
        <f>IF(E187&lt;D180,E116,IF(E187=D180,F116+G116,G116))</f>
        <v>1104000</v>
      </c>
      <c r="F189" s="1">
        <f>IF(F187&lt;D180,E116,IF(F187=D180,F116+G116,G116))</f>
        <v>1104000</v>
      </c>
      <c r="H189" s="40" t="s">
        <v>85</v>
      </c>
    </row>
    <row r="190" spans="2:8" ht="22.5" customHeight="1" hidden="1">
      <c r="B190" s="1">
        <f>IF(B187&lt;D180,D117,F117)</f>
        <v>0</v>
      </c>
      <c r="C190" s="40">
        <f>IF(C187&lt;D180,D117,F117)</f>
        <v>0</v>
      </c>
      <c r="D190" s="40">
        <f>IF(D187&lt;D180,D117,F117)</f>
        <v>0</v>
      </c>
      <c r="E190" s="40">
        <f>IF(E187&lt;D180,D117,F117)</f>
        <v>0</v>
      </c>
      <c r="F190" s="40">
        <f>IF(F187&lt;D180,D117,F117)</f>
        <v>0</v>
      </c>
      <c r="H190" s="40" t="s">
        <v>15</v>
      </c>
    </row>
    <row r="191" ht="22.5" customHeight="1" hidden="1"/>
    <row r="192" ht="22.5" customHeight="1" hidden="1"/>
    <row r="193" ht="22.5" customHeight="1" hidden="1"/>
    <row r="194" ht="22.5" customHeight="1" hidden="1"/>
    <row r="195" ht="22.5" customHeight="1" hidden="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sheetData>
  <sheetProtection/>
  <mergeCells count="166">
    <mergeCell ref="A77:A78"/>
    <mergeCell ref="A121:A122"/>
    <mergeCell ref="H97:H98"/>
    <mergeCell ref="I97:I98"/>
    <mergeCell ref="B117:C117"/>
    <mergeCell ref="B118:C118"/>
    <mergeCell ref="B109:C109"/>
    <mergeCell ref="B110:C110"/>
    <mergeCell ref="B104:C104"/>
    <mergeCell ref="B105:C105"/>
    <mergeCell ref="G82:G83"/>
    <mergeCell ref="B83:C83"/>
    <mergeCell ref="E97:E98"/>
    <mergeCell ref="B151:C151"/>
    <mergeCell ref="B88:C88"/>
    <mergeCell ref="B103:C103"/>
    <mergeCell ref="B134:C134"/>
    <mergeCell ref="G97:G98"/>
    <mergeCell ref="B133:C133"/>
    <mergeCell ref="G127:I127"/>
    <mergeCell ref="B150:C150"/>
    <mergeCell ref="B165:C165"/>
    <mergeCell ref="B169:F169"/>
    <mergeCell ref="E82:E83"/>
    <mergeCell ref="B156:C156"/>
    <mergeCell ref="B163:C163"/>
    <mergeCell ref="B164:C164"/>
    <mergeCell ref="B102:C102"/>
    <mergeCell ref="B123:C123"/>
    <mergeCell ref="B124:C124"/>
    <mergeCell ref="B125:C125"/>
    <mergeCell ref="B143:C143"/>
    <mergeCell ref="B144:C144"/>
    <mergeCell ref="B145:C145"/>
    <mergeCell ref="B130:C130"/>
    <mergeCell ref="B131:C131"/>
    <mergeCell ref="B132:C132"/>
    <mergeCell ref="K148:K149"/>
    <mergeCell ref="B135:C135"/>
    <mergeCell ref="B141:C141"/>
    <mergeCell ref="B142:C142"/>
    <mergeCell ref="H147:K147"/>
    <mergeCell ref="J148:J149"/>
    <mergeCell ref="D113:E113"/>
    <mergeCell ref="D148:E148"/>
    <mergeCell ref="F148:F149"/>
    <mergeCell ref="H148:I148"/>
    <mergeCell ref="G148:G149"/>
    <mergeCell ref="G128:H128"/>
    <mergeCell ref="I128:I129"/>
    <mergeCell ref="D147:G147"/>
    <mergeCell ref="B99:C99"/>
    <mergeCell ref="B100:C100"/>
    <mergeCell ref="B101:C101"/>
    <mergeCell ref="B114:C114"/>
    <mergeCell ref="B115:C115"/>
    <mergeCell ref="B116:C116"/>
    <mergeCell ref="B113:C113"/>
    <mergeCell ref="B93:C93"/>
    <mergeCell ref="B94:C94"/>
    <mergeCell ref="B95:C95"/>
    <mergeCell ref="B98:C98"/>
    <mergeCell ref="D127:F127"/>
    <mergeCell ref="D128:E128"/>
    <mergeCell ref="F128:F129"/>
    <mergeCell ref="B106:C106"/>
    <mergeCell ref="B107:C107"/>
    <mergeCell ref="B108:C108"/>
    <mergeCell ref="B79:C79"/>
    <mergeCell ref="B71:C71"/>
    <mergeCell ref="B72:C72"/>
    <mergeCell ref="B73:C73"/>
    <mergeCell ref="B74:C74"/>
    <mergeCell ref="B92:C92"/>
    <mergeCell ref="B89:C89"/>
    <mergeCell ref="B90:C90"/>
    <mergeCell ref="B87:C87"/>
    <mergeCell ref="B65:C65"/>
    <mergeCell ref="B66:C66"/>
    <mergeCell ref="B69:C69"/>
    <mergeCell ref="D69:E69"/>
    <mergeCell ref="F69:G69"/>
    <mergeCell ref="B70:C70"/>
    <mergeCell ref="B59:C59"/>
    <mergeCell ref="B60:C60"/>
    <mergeCell ref="B61:C61"/>
    <mergeCell ref="B62:C62"/>
    <mergeCell ref="B63:C63"/>
    <mergeCell ref="B64:C64"/>
    <mergeCell ref="B48:C48"/>
    <mergeCell ref="B49:C49"/>
    <mergeCell ref="B52:D52"/>
    <mergeCell ref="G52:I52"/>
    <mergeCell ref="E55:I55"/>
    <mergeCell ref="B56:C56"/>
    <mergeCell ref="E56:E57"/>
    <mergeCell ref="G56:G57"/>
    <mergeCell ref="H56:H57"/>
    <mergeCell ref="I56:I57"/>
    <mergeCell ref="B42:C42"/>
    <mergeCell ref="B43:C43"/>
    <mergeCell ref="B44:C44"/>
    <mergeCell ref="B45:C45"/>
    <mergeCell ref="B46:C46"/>
    <mergeCell ref="B47:C47"/>
    <mergeCell ref="B33:C33"/>
    <mergeCell ref="B34:C34"/>
    <mergeCell ref="B35:C35"/>
    <mergeCell ref="A38:A39"/>
    <mergeCell ref="E38:I38"/>
    <mergeCell ref="B39:C39"/>
    <mergeCell ref="E39:E40"/>
    <mergeCell ref="G39:G40"/>
    <mergeCell ref="H39:H40"/>
    <mergeCell ref="I39:I40"/>
    <mergeCell ref="B27:C27"/>
    <mergeCell ref="B30:C30"/>
    <mergeCell ref="D30:E30"/>
    <mergeCell ref="F30:G30"/>
    <mergeCell ref="B31:C31"/>
    <mergeCell ref="B32:C32"/>
    <mergeCell ref="B24:C24"/>
    <mergeCell ref="B19:C19"/>
    <mergeCell ref="E19:E20"/>
    <mergeCell ref="G19:G20"/>
    <mergeCell ref="B25:C25"/>
    <mergeCell ref="B26:C26"/>
    <mergeCell ref="G15:I15"/>
    <mergeCell ref="E18:I18"/>
    <mergeCell ref="I19:I20"/>
    <mergeCell ref="B22:C22"/>
    <mergeCell ref="B23:C23"/>
    <mergeCell ref="H19:H20"/>
    <mergeCell ref="B8:C8"/>
    <mergeCell ref="B9:C9"/>
    <mergeCell ref="B10:C10"/>
    <mergeCell ref="B11:C11"/>
    <mergeCell ref="B12:C12"/>
    <mergeCell ref="B15:D15"/>
    <mergeCell ref="A3:A4"/>
    <mergeCell ref="E3:I3"/>
    <mergeCell ref="B4:C4"/>
    <mergeCell ref="E4:E5"/>
    <mergeCell ref="G4:G5"/>
    <mergeCell ref="H4:H5"/>
    <mergeCell ref="I4:I5"/>
    <mergeCell ref="B7:C7"/>
    <mergeCell ref="K82:K83"/>
    <mergeCell ref="F113:G113"/>
    <mergeCell ref="B80:C80"/>
    <mergeCell ref="D97:D98"/>
    <mergeCell ref="D82:D83"/>
    <mergeCell ref="B91:C91"/>
    <mergeCell ref="B84:C84"/>
    <mergeCell ref="B85:C85"/>
    <mergeCell ref="B86:C86"/>
    <mergeCell ref="A2:I2"/>
    <mergeCell ref="A1:I1"/>
    <mergeCell ref="K127:K128"/>
    <mergeCell ref="J97:J98"/>
    <mergeCell ref="K97:K98"/>
    <mergeCell ref="F82:F83"/>
    <mergeCell ref="F97:F98"/>
    <mergeCell ref="H82:H83"/>
    <mergeCell ref="I82:I83"/>
    <mergeCell ref="J82:J83"/>
  </mergeCells>
  <printOptions horizontalCentered="1"/>
  <pageMargins left="0.5118110236220472" right="0.5118110236220472" top="0.984251968503937" bottom="0.984251968503937" header="0.5118110236220472" footer="0.5118110236220472"/>
  <pageSetup fitToHeight="0" horizontalDpi="300" verticalDpi="300" orientation="portrait" paperSize="9" scale="54" r:id="rId1"/>
  <headerFooter alignWithMargins="0">
    <oddHeader>&amp;L&amp;18Cost Comparison Model&amp;R&amp;18Proprietary Installation</oddHeader>
    <oddFooter>&amp;C&amp;"Bitstream Vera Serif,Regular"&amp;12Page &amp;P of &amp;N</oddFooter>
  </headerFooter>
  <rowBreaks count="2" manualBreakCount="2">
    <brk id="35" max="10" man="1"/>
    <brk id="74"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I12" sqref="I12"/>
    </sheetView>
  </sheetViews>
  <sheetFormatPr defaultColWidth="13.140625" defaultRowHeight="12"/>
  <cols>
    <col min="1" max="1" width="6.00390625" style="90" customWidth="1"/>
    <col min="2" max="2" width="4.7109375" style="90" customWidth="1"/>
    <col min="3" max="3" width="12.7109375" style="90" customWidth="1"/>
    <col min="4" max="4" width="11.57421875" style="90" customWidth="1"/>
    <col min="5" max="11" width="11.421875" style="90" customWidth="1"/>
    <col min="12" max="16384" width="13.140625" style="90" customWidth="1"/>
  </cols>
  <sheetData>
    <row r="1" spans="1:8" s="17" customFormat="1" ht="21" customHeight="1">
      <c r="A1" s="230" t="s">
        <v>170</v>
      </c>
      <c r="B1" s="231"/>
      <c r="C1" s="231"/>
      <c r="D1" s="231"/>
      <c r="E1" s="231"/>
      <c r="F1" s="231"/>
      <c r="G1" s="231"/>
      <c r="H1" s="232"/>
    </row>
    <row r="2" spans="1:8" s="17" customFormat="1" ht="18" customHeight="1">
      <c r="A2" s="235" t="s">
        <v>171</v>
      </c>
      <c r="B2" s="236"/>
      <c r="C2" s="237"/>
      <c r="D2" s="57"/>
      <c r="E2" s="57"/>
      <c r="F2" s="57"/>
      <c r="G2" s="57"/>
      <c r="H2" s="57"/>
    </row>
    <row r="3" spans="1:8" s="17" customFormat="1" ht="18" customHeight="1" thickBot="1">
      <c r="A3" s="57"/>
      <c r="B3" s="57"/>
      <c r="C3" s="57"/>
      <c r="D3" s="57"/>
      <c r="E3" s="57"/>
      <c r="F3" s="57"/>
      <c r="G3" s="57"/>
      <c r="H3" s="57"/>
    </row>
    <row r="4" spans="1:10" s="17" customFormat="1" ht="30.75" customHeight="1">
      <c r="A4" s="233" t="s">
        <v>25</v>
      </c>
      <c r="B4" s="2"/>
      <c r="C4" s="2"/>
      <c r="D4" s="234" t="s">
        <v>106</v>
      </c>
      <c r="E4" s="234" t="s">
        <v>107</v>
      </c>
      <c r="F4" s="234" t="s">
        <v>108</v>
      </c>
      <c r="G4" s="2"/>
      <c r="H4" s="2"/>
      <c r="I4" s="2"/>
      <c r="J4" s="2"/>
    </row>
    <row r="5" spans="1:10" s="17" customFormat="1" ht="30.75" customHeight="1" thickBot="1">
      <c r="A5" s="162"/>
      <c r="B5" s="2"/>
      <c r="C5" s="2"/>
      <c r="D5" s="162"/>
      <c r="E5" s="162"/>
      <c r="F5" s="162"/>
      <c r="G5" s="2"/>
      <c r="H5" s="2"/>
      <c r="I5" s="2"/>
      <c r="J5" s="2"/>
    </row>
    <row r="6" spans="1:10" s="17" customFormat="1" ht="30.75" customHeight="1" thickBot="1">
      <c r="A6" s="58">
        <f>Notes!A33</f>
        <v>30</v>
      </c>
      <c r="B6" s="199" t="s">
        <v>109</v>
      </c>
      <c r="C6" s="199"/>
      <c r="D6" s="2"/>
      <c r="E6" s="2"/>
      <c r="F6" s="2"/>
      <c r="G6" s="2"/>
      <c r="H6" s="2"/>
      <c r="I6" s="2"/>
      <c r="J6" s="2"/>
    </row>
    <row r="7" spans="1:10" s="17" customFormat="1" ht="30.75" customHeight="1" thickBot="1">
      <c r="A7" s="58">
        <f>Notes!A36</f>
        <v>33</v>
      </c>
      <c r="B7" s="2"/>
      <c r="C7" s="59" t="s">
        <v>110</v>
      </c>
      <c r="D7" s="60">
        <v>4000</v>
      </c>
      <c r="E7" s="61">
        <v>300</v>
      </c>
      <c r="F7" s="28">
        <f>D7*E7</f>
        <v>1200000</v>
      </c>
      <c r="G7" s="2"/>
      <c r="H7" s="2"/>
      <c r="I7" s="2"/>
      <c r="J7" s="2"/>
    </row>
    <row r="8" spans="1:10" s="17" customFormat="1" ht="30.75" customHeight="1" thickBot="1">
      <c r="A8" s="58">
        <f>Notes!A37</f>
        <v>34</v>
      </c>
      <c r="B8" s="2"/>
      <c r="C8" s="59" t="s">
        <v>111</v>
      </c>
      <c r="D8" s="62">
        <v>5</v>
      </c>
      <c r="E8" s="63">
        <v>1000</v>
      </c>
      <c r="F8" s="28">
        <f>D8*E8</f>
        <v>5000</v>
      </c>
      <c r="G8" s="2"/>
      <c r="H8" s="2"/>
      <c r="I8" s="2"/>
      <c r="J8" s="2"/>
    </row>
    <row r="9" spans="1:10" s="17" customFormat="1" ht="30.75" customHeight="1" thickBot="1">
      <c r="A9" s="58">
        <f>Notes!A37</f>
        <v>34</v>
      </c>
      <c r="B9" s="2"/>
      <c r="C9" s="64" t="s">
        <v>164</v>
      </c>
      <c r="D9" s="65">
        <v>35</v>
      </c>
      <c r="E9" s="66">
        <v>10000</v>
      </c>
      <c r="F9" s="28">
        <f>D9*E9</f>
        <v>350000</v>
      </c>
      <c r="G9" s="2"/>
      <c r="H9" s="2"/>
      <c r="I9" s="2"/>
      <c r="J9" s="2"/>
    </row>
    <row r="10" spans="1:10" s="17" customFormat="1" ht="30.75" customHeight="1" thickBot="1">
      <c r="A10" s="58">
        <f>Notes!A38</f>
        <v>35</v>
      </c>
      <c r="B10" s="2"/>
      <c r="C10" s="59" t="s">
        <v>112</v>
      </c>
      <c r="D10" s="67">
        <v>30</v>
      </c>
      <c r="E10" s="68">
        <v>1000</v>
      </c>
      <c r="F10" s="14">
        <f>D10*E10</f>
        <v>30000</v>
      </c>
      <c r="G10" s="2"/>
      <c r="H10" s="2"/>
      <c r="I10" s="2"/>
      <c r="J10" s="2"/>
    </row>
    <row r="11" spans="1:10" s="17" customFormat="1" ht="30.75" customHeight="1">
      <c r="A11" s="58">
        <f>Notes!A34</f>
        <v>31</v>
      </c>
      <c r="B11" s="167" t="s">
        <v>113</v>
      </c>
      <c r="C11" s="167"/>
      <c r="D11" s="70"/>
      <c r="E11" s="70"/>
      <c r="F11" s="70"/>
      <c r="G11" s="2"/>
      <c r="H11" s="2"/>
      <c r="I11" s="2"/>
      <c r="J11" s="2"/>
    </row>
    <row r="12" spans="1:10" s="17" customFormat="1" ht="30.75" customHeight="1">
      <c r="A12" s="58">
        <f>Notes!A39</f>
        <v>36</v>
      </c>
      <c r="B12" s="2"/>
      <c r="C12" s="59" t="s">
        <v>114</v>
      </c>
      <c r="D12" s="60">
        <v>600</v>
      </c>
      <c r="E12" s="61">
        <v>300</v>
      </c>
      <c r="F12" s="28">
        <f>D12*E12</f>
        <v>180000</v>
      </c>
      <c r="G12" s="2"/>
      <c r="H12" s="2"/>
      <c r="I12" s="2"/>
      <c r="J12" s="2"/>
    </row>
    <row r="13" spans="1:10" s="17" customFormat="1" ht="30.75" customHeight="1">
      <c r="A13" s="58">
        <f>Notes!A39</f>
        <v>36</v>
      </c>
      <c r="B13" s="2"/>
      <c r="C13" s="59" t="s">
        <v>115</v>
      </c>
      <c r="D13" s="67">
        <v>500</v>
      </c>
      <c r="E13" s="68">
        <v>400</v>
      </c>
      <c r="F13" s="14">
        <f>D13*E13</f>
        <v>200000</v>
      </c>
      <c r="G13" s="2"/>
      <c r="H13" s="2"/>
      <c r="I13" s="2"/>
      <c r="J13" s="2"/>
    </row>
    <row r="14" spans="1:10" s="17" customFormat="1" ht="30.75" customHeight="1">
      <c r="A14" s="58">
        <f>Notes!A35</f>
        <v>32</v>
      </c>
      <c r="B14" s="199" t="s">
        <v>116</v>
      </c>
      <c r="C14" s="199"/>
      <c r="D14" s="71"/>
      <c r="E14" s="71"/>
      <c r="F14" s="70"/>
      <c r="G14" s="2"/>
      <c r="H14" s="2"/>
      <c r="I14" s="2"/>
      <c r="J14" s="2"/>
    </row>
    <row r="15" spans="1:10" s="17" customFormat="1" ht="30.75" customHeight="1">
      <c r="A15" s="58">
        <f>Notes!A40</f>
        <v>37</v>
      </c>
      <c r="B15" s="2"/>
      <c r="C15" s="59" t="s">
        <v>199</v>
      </c>
      <c r="D15" s="60">
        <v>50</v>
      </c>
      <c r="E15" s="61">
        <v>10000</v>
      </c>
      <c r="F15" s="28">
        <f>D15*E15</f>
        <v>500000</v>
      </c>
      <c r="G15" s="2"/>
      <c r="H15" s="2"/>
      <c r="I15" s="2"/>
      <c r="J15" s="2"/>
    </row>
    <row r="16" spans="1:10" s="17" customFormat="1" ht="30.75" customHeight="1">
      <c r="A16" s="58">
        <f>Notes!A41</f>
        <v>38</v>
      </c>
      <c r="B16" s="2"/>
      <c r="C16" s="64" t="s">
        <v>117</v>
      </c>
      <c r="D16" s="62">
        <v>20</v>
      </c>
      <c r="E16" s="63">
        <v>20000</v>
      </c>
      <c r="F16" s="9">
        <f>D16*E16</f>
        <v>400000</v>
      </c>
      <c r="G16" s="2"/>
      <c r="H16" s="2"/>
      <c r="I16" s="2"/>
      <c r="J16" s="2"/>
    </row>
    <row r="17" spans="1:10" s="17" customFormat="1" ht="30.75" customHeight="1" thickBot="1">
      <c r="A17" s="58">
        <f>Notes!A41</f>
        <v>38</v>
      </c>
      <c r="B17" s="2"/>
      <c r="C17" s="72" t="s">
        <v>118</v>
      </c>
      <c r="D17" s="67">
        <v>4</v>
      </c>
      <c r="E17" s="68">
        <v>300000</v>
      </c>
      <c r="F17" s="14">
        <f>D17*E17</f>
        <v>1200000</v>
      </c>
      <c r="G17" s="2"/>
      <c r="H17" s="2"/>
      <c r="I17" s="2"/>
      <c r="J17" s="2"/>
    </row>
    <row r="18" spans="1:10" s="17" customFormat="1" ht="17.25" customHeight="1">
      <c r="A18" s="73"/>
      <c r="B18" s="20"/>
      <c r="C18" s="74"/>
      <c r="D18" s="75"/>
      <c r="E18" s="76"/>
      <c r="F18" s="77"/>
      <c r="G18" s="2"/>
      <c r="H18" s="2"/>
      <c r="I18" s="2"/>
      <c r="J18" s="2"/>
    </row>
    <row r="19" spans="1:10" s="17" customFormat="1" ht="19.5" customHeight="1" thickBot="1">
      <c r="A19" s="224" t="s">
        <v>172</v>
      </c>
      <c r="B19" s="225"/>
      <c r="C19" s="225"/>
      <c r="D19" s="225"/>
      <c r="E19" s="225"/>
      <c r="F19" s="225"/>
      <c r="G19" s="225"/>
      <c r="H19" s="2"/>
      <c r="I19" s="2"/>
      <c r="J19" s="2"/>
    </row>
    <row r="20" spans="1:10" s="17" customFormat="1" ht="30.75" customHeight="1" thickBot="1">
      <c r="A20" s="58">
        <f>Notes!A42</f>
        <v>39</v>
      </c>
      <c r="B20" s="229" t="s">
        <v>173</v>
      </c>
      <c r="C20" s="229"/>
      <c r="D20" s="78">
        <v>20000</v>
      </c>
      <c r="E20" s="79"/>
      <c r="F20" s="77"/>
      <c r="G20" s="77"/>
      <c r="H20" s="77"/>
      <c r="I20" s="80"/>
      <c r="J20" s="77"/>
    </row>
    <row r="21" spans="1:16" s="17" customFormat="1" ht="30.75" customHeight="1" thickBot="1">
      <c r="A21" s="2"/>
      <c r="B21" s="2"/>
      <c r="C21" s="2"/>
      <c r="D21" s="228" t="s">
        <v>49</v>
      </c>
      <c r="E21" s="161" t="s">
        <v>50</v>
      </c>
      <c r="F21" s="163" t="s">
        <v>156</v>
      </c>
      <c r="G21" s="161" t="s">
        <v>51</v>
      </c>
      <c r="H21" s="165" t="s">
        <v>52</v>
      </c>
      <c r="I21" s="161" t="s">
        <v>53</v>
      </c>
      <c r="J21" s="161" t="s">
        <v>54</v>
      </c>
      <c r="K21" s="161" t="s">
        <v>55</v>
      </c>
      <c r="P21" s="226" t="s">
        <v>55</v>
      </c>
    </row>
    <row r="22" spans="1:16" s="17" customFormat="1" ht="30.75" customHeight="1" thickBot="1">
      <c r="A22" s="2"/>
      <c r="B22" s="173" t="s">
        <v>119</v>
      </c>
      <c r="C22" s="190"/>
      <c r="D22" s="162"/>
      <c r="E22" s="162"/>
      <c r="F22" s="164"/>
      <c r="G22" s="162"/>
      <c r="H22" s="162"/>
      <c r="I22" s="162"/>
      <c r="J22" s="162"/>
      <c r="K22" s="162"/>
      <c r="P22" s="227"/>
    </row>
    <row r="23" spans="1:16" s="17" customFormat="1" ht="30.75" customHeight="1" thickBot="1">
      <c r="A23" s="58">
        <f>Notes!A43</f>
        <v>40</v>
      </c>
      <c r="B23" s="229" t="s">
        <v>96</v>
      </c>
      <c r="C23" s="229"/>
      <c r="D23" s="78">
        <v>1</v>
      </c>
      <c r="E23" s="78">
        <v>1000</v>
      </c>
      <c r="F23" s="81">
        <v>1</v>
      </c>
      <c r="G23" s="15">
        <f>IF(D23=0,0,IF(F23=0,CEILING(Summary!D7/E23,1),MAX(Summary!D8,CEILING(Summary!D7/E23,1))))</f>
        <v>10</v>
      </c>
      <c r="H23" s="28">
        <f>VLOOKUP(D23,servers,2)*G23</f>
        <v>95000</v>
      </c>
      <c r="I23" s="28">
        <f>VLOOKUP(D23,servers,3)*G23</f>
        <v>14250</v>
      </c>
      <c r="J23" s="28">
        <f>Summary!D7*('Windows OS'!G141)</f>
        <v>0</v>
      </c>
      <c r="K23" s="28">
        <f>Summary!D7*('Windows OS'!H141+'Windows OS'!I141)</f>
        <v>0</v>
      </c>
      <c r="P23" s="82">
        <v>1200</v>
      </c>
    </row>
    <row r="24" spans="1:16" s="17" customFormat="1" ht="30.75" customHeight="1" thickBot="1">
      <c r="A24" s="83"/>
      <c r="B24" s="174" t="s">
        <v>36</v>
      </c>
      <c r="C24" s="174"/>
      <c r="D24" s="33"/>
      <c r="E24" s="33"/>
      <c r="G24" s="2"/>
      <c r="H24" s="15">
        <f>SUM(H23:H23)</f>
        <v>95000</v>
      </c>
      <c r="I24" s="15">
        <f>SUM(I23:I23)</f>
        <v>14250</v>
      </c>
      <c r="J24" s="15">
        <f>SUM(J23:J23)</f>
        <v>0</v>
      </c>
      <c r="K24" s="15">
        <f>SUM(K23:K23)</f>
        <v>0</v>
      </c>
      <c r="P24" s="85">
        <f>SUM(P23:P23)</f>
        <v>1200</v>
      </c>
    </row>
    <row r="25" spans="2:3" s="17" customFormat="1" ht="22.5" customHeight="1" thickBot="1">
      <c r="B25" s="144" t="s">
        <v>120</v>
      </c>
      <c r="C25" s="144"/>
    </row>
    <row r="26" spans="2:5" s="17" customFormat="1" ht="30.75" customHeight="1" thickBot="1">
      <c r="B26" s="144"/>
      <c r="C26" s="144"/>
      <c r="D26" s="69" t="s">
        <v>27</v>
      </c>
      <c r="E26" s="69" t="s">
        <v>39</v>
      </c>
    </row>
    <row r="27" spans="2:5" s="17" customFormat="1" ht="30.75" customHeight="1">
      <c r="B27" s="182" t="s">
        <v>40</v>
      </c>
      <c r="C27" s="182"/>
      <c r="D27" s="87">
        <f>H24</f>
        <v>95000</v>
      </c>
      <c r="E27" s="87">
        <f>I24</f>
        <v>14250</v>
      </c>
    </row>
    <row r="28" spans="2:5" s="17" customFormat="1" ht="30.75" customHeight="1">
      <c r="B28" s="183" t="s">
        <v>41</v>
      </c>
      <c r="C28" s="183"/>
      <c r="D28" s="88">
        <f>SUM(F12:F17)</f>
        <v>2480000</v>
      </c>
      <c r="E28" s="88">
        <f>K24</f>
        <v>0</v>
      </c>
    </row>
    <row r="29" spans="2:5" s="17" customFormat="1" ht="30.75" customHeight="1">
      <c r="B29" s="184" t="s">
        <v>42</v>
      </c>
      <c r="C29" s="184"/>
      <c r="D29" s="89">
        <f>SUM(F7:F10)</f>
        <v>1585000</v>
      </c>
      <c r="E29" s="89">
        <f>D20</f>
        <v>20000</v>
      </c>
    </row>
    <row r="30" spans="1:5" s="17" customFormat="1" ht="30.75" customHeight="1">
      <c r="A30" s="83"/>
      <c r="B30" s="173" t="s">
        <v>36</v>
      </c>
      <c r="C30" s="173"/>
      <c r="D30" s="15">
        <f>SUM(D27:D29)</f>
        <v>4160000</v>
      </c>
      <c r="E30" s="15">
        <f>SUM(E27:E29)</f>
        <v>34250</v>
      </c>
    </row>
    <row r="31" spans="1:12" ht="30.75" customHeight="1">
      <c r="A31" s="40"/>
      <c r="B31" s="40"/>
      <c r="C31" s="40"/>
      <c r="D31" s="40"/>
      <c r="E31" s="40"/>
      <c r="F31" s="40"/>
      <c r="G31" s="40"/>
      <c r="H31" s="40"/>
      <c r="I31" s="40"/>
      <c r="J31" s="40"/>
      <c r="K31" s="40"/>
      <c r="L31" s="40"/>
    </row>
    <row r="32" spans="1:12" ht="30.75" customHeight="1">
      <c r="A32" s="40"/>
      <c r="B32" s="40"/>
      <c r="C32" s="40"/>
      <c r="D32" s="40"/>
      <c r="E32" s="40"/>
      <c r="F32" s="40"/>
      <c r="G32" s="40"/>
      <c r="H32" s="40"/>
      <c r="I32" s="40"/>
      <c r="J32" s="40"/>
      <c r="K32" s="40"/>
      <c r="L32" s="40"/>
    </row>
    <row r="33" spans="1:12" ht="30.75" customHeight="1">
      <c r="A33" s="40"/>
      <c r="B33" s="40"/>
      <c r="C33" s="40"/>
      <c r="D33" s="40"/>
      <c r="E33" s="40"/>
      <c r="F33" s="40"/>
      <c r="G33" s="40"/>
      <c r="H33" s="40"/>
      <c r="I33" s="40"/>
      <c r="J33" s="40"/>
      <c r="K33" s="40"/>
      <c r="L33" s="40"/>
    </row>
    <row r="34" spans="1:12" ht="30.75" customHeight="1">
      <c r="A34" s="40"/>
      <c r="B34" s="40"/>
      <c r="C34" s="40"/>
      <c r="D34" s="40"/>
      <c r="E34" s="40"/>
      <c r="F34" s="40"/>
      <c r="G34" s="40"/>
      <c r="H34" s="40"/>
      <c r="I34" s="40"/>
      <c r="J34" s="40"/>
      <c r="K34" s="40"/>
      <c r="L34" s="40"/>
    </row>
    <row r="35" spans="1:12" ht="30.75" customHeight="1">
      <c r="A35" s="40"/>
      <c r="B35" s="40"/>
      <c r="C35" s="40"/>
      <c r="D35" s="40"/>
      <c r="E35" s="40"/>
      <c r="F35" s="40"/>
      <c r="G35" s="40"/>
      <c r="H35" s="40"/>
      <c r="I35" s="40"/>
      <c r="J35" s="40"/>
      <c r="K35" s="40"/>
      <c r="L35" s="40"/>
    </row>
    <row r="36" spans="1:11" ht="30.75" customHeight="1">
      <c r="A36" s="40"/>
      <c r="B36" s="40"/>
      <c r="C36" s="40"/>
      <c r="D36" s="40"/>
      <c r="E36" s="40"/>
      <c r="F36" s="40"/>
      <c r="G36" s="40"/>
      <c r="H36" s="40"/>
      <c r="I36" s="40"/>
      <c r="J36" s="40"/>
      <c r="K36" s="40"/>
    </row>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sheetData>
  <sheetProtection/>
  <mergeCells count="27">
    <mergeCell ref="J21:J22"/>
    <mergeCell ref="B29:C29"/>
    <mergeCell ref="B30:C30"/>
    <mergeCell ref="B24:C24"/>
    <mergeCell ref="B27:C27"/>
    <mergeCell ref="B28:C28"/>
    <mergeCell ref="B23:C23"/>
    <mergeCell ref="I21:I22"/>
    <mergeCell ref="A1:H1"/>
    <mergeCell ref="B6:C6"/>
    <mergeCell ref="B11:C11"/>
    <mergeCell ref="B14:C14"/>
    <mergeCell ref="A4:A5"/>
    <mergeCell ref="D4:D5"/>
    <mergeCell ref="E4:E5"/>
    <mergeCell ref="F4:F5"/>
    <mergeCell ref="A2:C2"/>
    <mergeCell ref="A19:G19"/>
    <mergeCell ref="P21:P22"/>
    <mergeCell ref="D21:D22"/>
    <mergeCell ref="E21:E22"/>
    <mergeCell ref="G21:G22"/>
    <mergeCell ref="H21:H22"/>
    <mergeCell ref="B20:C20"/>
    <mergeCell ref="F21:F22"/>
    <mergeCell ref="K21:K22"/>
    <mergeCell ref="B22:C22"/>
  </mergeCells>
  <printOptions horizontalCentered="1"/>
  <pageMargins left="0.5118110236220472" right="0.5118110236220472" top="0.984251968503937" bottom="0.984251968503937" header="0.5118110236220472" footer="0.5118110236220472"/>
  <pageSetup fitToHeight="0" fitToWidth="1" horizontalDpi="300" verticalDpi="300" orientation="portrait" paperSize="9" scale="76" r:id="rId1"/>
  <headerFooter alignWithMargins="0">
    <oddHeader>&amp;L&amp;18Cost Comparison Model&amp;R&amp;18Migration Costs</oddHeader>
    <oddFooter>&amp;C&amp;"Bitstream Vera Serif,Regular"&amp;12Page &amp;P of &amp;N</oddFooter>
  </headerFooter>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0">
      <selection activeCell="K7" sqref="K7"/>
    </sheetView>
  </sheetViews>
  <sheetFormatPr defaultColWidth="11.421875" defaultRowHeight="12"/>
  <cols>
    <col min="1" max="1" width="6.8515625" style="2" customWidth="1"/>
    <col min="2" max="2" width="49.28125" style="2" customWidth="1"/>
    <col min="3" max="3" width="9.8515625" style="2" customWidth="1"/>
    <col min="4" max="4" width="13.140625" style="2" customWidth="1"/>
    <col min="5" max="5" width="15.57421875" style="2" customWidth="1"/>
    <col min="6" max="6" width="12.57421875" style="2" customWidth="1"/>
    <col min="7" max="7" width="12.28125" style="2" customWidth="1"/>
    <col min="8" max="8" width="12.140625" style="2" customWidth="1"/>
    <col min="9" max="13" width="10.140625" style="2" customWidth="1"/>
    <col min="14" max="16384" width="11.421875" style="2" customWidth="1"/>
  </cols>
  <sheetData>
    <row r="1" spans="1:13" s="3" customFormat="1" ht="27" customHeight="1" thickBot="1">
      <c r="A1" s="238" t="s">
        <v>121</v>
      </c>
      <c r="B1" s="238"/>
      <c r="C1" s="238"/>
      <c r="D1" s="238"/>
      <c r="E1" s="2"/>
      <c r="F1" s="2"/>
      <c r="G1" s="2"/>
      <c r="H1" s="125"/>
      <c r="I1" s="13"/>
      <c r="J1" s="13"/>
      <c r="K1" s="13"/>
      <c r="L1" s="13"/>
      <c r="M1" s="13"/>
    </row>
    <row r="2" spans="1:13" s="3" customFormat="1" ht="25.5" customHeight="1">
      <c r="A2" s="239" t="s">
        <v>122</v>
      </c>
      <c r="B2" s="98"/>
      <c r="C2" s="126"/>
      <c r="D2" s="125"/>
      <c r="E2" s="2"/>
      <c r="F2" s="2"/>
      <c r="G2" s="2"/>
      <c r="H2" s="125"/>
      <c r="I2" s="13"/>
      <c r="J2" s="13"/>
      <c r="K2" s="13"/>
      <c r="L2" s="13"/>
      <c r="M2" s="13"/>
    </row>
    <row r="3" spans="1:13" s="3" customFormat="1" ht="17.25" customHeight="1" thickBot="1">
      <c r="A3" s="162"/>
      <c r="B3" s="2"/>
      <c r="C3" s="2"/>
      <c r="D3" s="2"/>
      <c r="E3" s="2"/>
      <c r="F3" s="2"/>
      <c r="G3" s="2"/>
      <c r="H3" s="125"/>
      <c r="I3" s="13"/>
      <c r="J3" s="13"/>
      <c r="K3" s="13"/>
      <c r="L3" s="13"/>
      <c r="M3" s="13"/>
    </row>
    <row r="4" spans="1:13" s="3" customFormat="1" ht="30.75" customHeight="1" thickBot="1">
      <c r="A4" s="127">
        <f>Notes!A4</f>
        <v>1</v>
      </c>
      <c r="B4" s="84" t="s">
        <v>123</v>
      </c>
      <c r="C4" s="128" t="s">
        <v>124</v>
      </c>
      <c r="D4" s="129" t="s">
        <v>125</v>
      </c>
      <c r="E4" s="129" t="s">
        <v>126</v>
      </c>
      <c r="F4" s="130" t="s">
        <v>127</v>
      </c>
      <c r="G4" s="129" t="s">
        <v>128</v>
      </c>
      <c r="H4" s="2"/>
      <c r="I4" s="13"/>
      <c r="J4" s="13"/>
      <c r="K4" s="13"/>
      <c r="L4" s="13"/>
      <c r="M4" s="13"/>
    </row>
    <row r="5" spans="1:13" s="3" customFormat="1" ht="49.5" customHeight="1">
      <c r="A5" s="131">
        <f>Notes!A5</f>
        <v>2</v>
      </c>
      <c r="B5" s="132" t="s">
        <v>192</v>
      </c>
      <c r="C5" s="133">
        <v>1</v>
      </c>
      <c r="D5" s="134">
        <v>675</v>
      </c>
      <c r="E5" s="134">
        <v>75</v>
      </c>
      <c r="F5" s="134">
        <v>5</v>
      </c>
      <c r="G5" s="134">
        <v>4</v>
      </c>
      <c r="H5" s="2"/>
      <c r="I5" s="13"/>
      <c r="J5" s="13"/>
      <c r="K5" s="13"/>
      <c r="L5" s="13"/>
      <c r="M5" s="13"/>
    </row>
    <row r="6" spans="1:13" s="3" customFormat="1" ht="49.5" customHeight="1">
      <c r="A6" s="131">
        <f>Notes!A5</f>
        <v>2</v>
      </c>
      <c r="B6" s="132" t="s">
        <v>175</v>
      </c>
      <c r="C6" s="133">
        <v>2</v>
      </c>
      <c r="D6" s="134">
        <v>860</v>
      </c>
      <c r="E6" s="134">
        <v>80</v>
      </c>
      <c r="F6" s="134">
        <v>5</v>
      </c>
      <c r="G6" s="134">
        <v>4</v>
      </c>
      <c r="H6" s="2"/>
      <c r="I6" s="13"/>
      <c r="J6" s="13"/>
      <c r="K6" s="13"/>
      <c r="L6" s="13"/>
      <c r="M6" s="13"/>
    </row>
    <row r="7" spans="1:13" s="3" customFormat="1" ht="49.5" customHeight="1">
      <c r="A7" s="131">
        <f>Notes!A5</f>
        <v>2</v>
      </c>
      <c r="B7" s="132" t="s">
        <v>178</v>
      </c>
      <c r="C7" s="133">
        <v>3</v>
      </c>
      <c r="D7" s="134">
        <v>850</v>
      </c>
      <c r="E7" s="134">
        <v>125</v>
      </c>
      <c r="F7" s="134">
        <v>5</v>
      </c>
      <c r="G7" s="134">
        <v>4</v>
      </c>
      <c r="H7" s="2"/>
      <c r="I7" s="13"/>
      <c r="J7" s="13"/>
      <c r="K7" s="13"/>
      <c r="L7" s="13"/>
      <c r="M7" s="13"/>
    </row>
    <row r="8" spans="1:13" s="3" customFormat="1" ht="49.5" customHeight="1">
      <c r="A8" s="131">
        <f>Notes!A5</f>
        <v>2</v>
      </c>
      <c r="B8" s="132" t="s">
        <v>179</v>
      </c>
      <c r="C8" s="133">
        <v>4</v>
      </c>
      <c r="D8" s="134">
        <v>950</v>
      </c>
      <c r="E8" s="134">
        <v>140</v>
      </c>
      <c r="F8" s="134">
        <v>5</v>
      </c>
      <c r="G8" s="134">
        <v>4</v>
      </c>
      <c r="H8" s="2"/>
      <c r="I8" s="13"/>
      <c r="J8" s="13"/>
      <c r="K8" s="13"/>
      <c r="L8" s="13"/>
      <c r="M8" s="13"/>
    </row>
    <row r="9" spans="1:13" s="3" customFormat="1" ht="49.5" customHeight="1" thickBot="1">
      <c r="A9" s="131">
        <f>Notes!A5</f>
        <v>2</v>
      </c>
      <c r="B9" s="132" t="s">
        <v>176</v>
      </c>
      <c r="C9" s="133">
        <v>5</v>
      </c>
      <c r="D9" s="134">
        <v>1035</v>
      </c>
      <c r="E9" s="134">
        <v>130</v>
      </c>
      <c r="F9" s="134">
        <v>5</v>
      </c>
      <c r="G9" s="134">
        <v>4</v>
      </c>
      <c r="H9" s="2"/>
      <c r="I9" s="13"/>
      <c r="J9" s="13"/>
      <c r="K9" s="13"/>
      <c r="L9" s="13"/>
      <c r="M9" s="13"/>
    </row>
    <row r="10" spans="1:13" s="3" customFormat="1" ht="49.5" customHeight="1" thickBot="1">
      <c r="A10" s="135">
        <f>Notes!A5</f>
        <v>2</v>
      </c>
      <c r="B10" s="132" t="s">
        <v>177</v>
      </c>
      <c r="C10" s="133">
        <v>6</v>
      </c>
      <c r="D10" s="134">
        <v>1135</v>
      </c>
      <c r="E10" s="134">
        <v>145</v>
      </c>
      <c r="F10" s="134">
        <v>5</v>
      </c>
      <c r="G10" s="134">
        <v>4</v>
      </c>
      <c r="H10" s="2"/>
      <c r="I10" s="13"/>
      <c r="J10" s="13"/>
      <c r="K10" s="13"/>
      <c r="L10" s="13"/>
      <c r="M10" s="13"/>
    </row>
    <row r="11" spans="1:13" s="3" customFormat="1" ht="30.75" customHeight="1" thickBot="1">
      <c r="A11" s="2"/>
      <c r="B11" s="98"/>
      <c r="C11" s="126"/>
      <c r="D11" s="125"/>
      <c r="E11" s="125"/>
      <c r="F11" s="125"/>
      <c r="G11" s="125"/>
      <c r="H11" s="125"/>
      <c r="I11" s="1"/>
      <c r="J11" s="13"/>
      <c r="K11" s="13"/>
      <c r="L11" s="13"/>
      <c r="M11" s="13"/>
    </row>
    <row r="12" spans="1:13" s="3" customFormat="1" ht="30.75" customHeight="1">
      <c r="A12" s="127">
        <f>Notes!A6</f>
        <v>3</v>
      </c>
      <c r="B12" s="84" t="s">
        <v>129</v>
      </c>
      <c r="C12" s="128" t="s">
        <v>124</v>
      </c>
      <c r="D12" s="129" t="s">
        <v>125</v>
      </c>
      <c r="E12" s="129" t="s">
        <v>126</v>
      </c>
      <c r="F12" s="2"/>
      <c r="G12" s="2"/>
      <c r="H12" s="2"/>
      <c r="I12" s="1"/>
      <c r="J12" s="13"/>
      <c r="K12" s="13"/>
      <c r="L12" s="13"/>
      <c r="M12" s="13"/>
    </row>
    <row r="13" spans="1:13" s="3" customFormat="1" ht="49.5" customHeight="1">
      <c r="A13" s="131">
        <f>Notes!A7</f>
        <v>4</v>
      </c>
      <c r="B13" s="132" t="s">
        <v>162</v>
      </c>
      <c r="C13" s="133">
        <v>0</v>
      </c>
      <c r="D13" s="134">
        <v>0</v>
      </c>
      <c r="E13" s="134">
        <v>0</v>
      </c>
      <c r="F13" s="2"/>
      <c r="G13" s="2"/>
      <c r="H13" s="2"/>
      <c r="I13" s="13"/>
      <c r="J13" s="13"/>
      <c r="K13" s="13"/>
      <c r="L13" s="13"/>
      <c r="M13" s="13"/>
    </row>
    <row r="14" spans="1:13" s="3" customFormat="1" ht="49.5" customHeight="1">
      <c r="A14" s="131">
        <f>Notes!A7</f>
        <v>4</v>
      </c>
      <c r="B14" s="132" t="s">
        <v>181</v>
      </c>
      <c r="C14" s="133">
        <v>1</v>
      </c>
      <c r="D14" s="134">
        <v>9500</v>
      </c>
      <c r="E14" s="134">
        <v>1425</v>
      </c>
      <c r="F14" s="2"/>
      <c r="G14" s="2"/>
      <c r="H14" s="2"/>
      <c r="I14" s="13"/>
      <c r="J14" s="13"/>
      <c r="K14" s="13"/>
      <c r="L14" s="13"/>
      <c r="M14" s="13"/>
    </row>
    <row r="15" spans="1:13" s="3" customFormat="1" ht="49.5" customHeight="1">
      <c r="A15" s="131">
        <f>Notes!A7</f>
        <v>4</v>
      </c>
      <c r="B15" s="132" t="s">
        <v>182</v>
      </c>
      <c r="C15" s="133">
        <v>2</v>
      </c>
      <c r="D15" s="134">
        <v>7500</v>
      </c>
      <c r="E15" s="134">
        <v>1125</v>
      </c>
      <c r="F15" s="2"/>
      <c r="G15" s="2"/>
      <c r="H15" s="2"/>
      <c r="I15" s="13"/>
      <c r="J15" s="13"/>
      <c r="K15" s="13"/>
      <c r="L15" s="13"/>
      <c r="M15" s="13"/>
    </row>
    <row r="16" spans="1:13" s="3" customFormat="1" ht="49.5" customHeight="1">
      <c r="A16" s="131">
        <f>Notes!A7</f>
        <v>4</v>
      </c>
      <c r="B16" s="132" t="s">
        <v>183</v>
      </c>
      <c r="C16" s="133">
        <v>3</v>
      </c>
      <c r="D16" s="136">
        <v>5000</v>
      </c>
      <c r="E16" s="136">
        <v>750</v>
      </c>
      <c r="F16" s="2"/>
      <c r="G16" s="2"/>
      <c r="H16" s="2"/>
      <c r="I16" s="13"/>
      <c r="J16" s="13"/>
      <c r="K16" s="13"/>
      <c r="L16" s="13"/>
      <c r="M16" s="13"/>
    </row>
    <row r="17" spans="1:13" s="3" customFormat="1" ht="49.5" customHeight="1">
      <c r="A17" s="131">
        <f>Notes!A7</f>
        <v>4</v>
      </c>
      <c r="B17" s="132"/>
      <c r="C17" s="133">
        <v>4</v>
      </c>
      <c r="D17" s="136"/>
      <c r="E17" s="136"/>
      <c r="F17" s="2"/>
      <c r="G17" s="2"/>
      <c r="H17" s="2"/>
      <c r="I17" s="13"/>
      <c r="J17" s="13"/>
      <c r="K17" s="13"/>
      <c r="L17" s="13"/>
      <c r="M17" s="13"/>
    </row>
    <row r="18" spans="1:13" s="3" customFormat="1" ht="49.5" customHeight="1">
      <c r="A18" s="131">
        <f>Notes!A7</f>
        <v>4</v>
      </c>
      <c r="B18" s="132"/>
      <c r="C18" s="133">
        <v>5</v>
      </c>
      <c r="D18" s="136"/>
      <c r="E18" s="136"/>
      <c r="F18" s="2"/>
      <c r="G18" s="2"/>
      <c r="H18" s="2"/>
      <c r="I18" s="13"/>
      <c r="J18" s="13"/>
      <c r="K18" s="13"/>
      <c r="L18" s="13"/>
      <c r="M18" s="13"/>
    </row>
    <row r="19" spans="1:13" s="3" customFormat="1" ht="49.5" customHeight="1">
      <c r="A19" s="135">
        <f>Notes!A7</f>
        <v>4</v>
      </c>
      <c r="B19" s="137"/>
      <c r="C19" s="133">
        <v>6</v>
      </c>
      <c r="D19" s="136"/>
      <c r="E19" s="136"/>
      <c r="F19" s="2"/>
      <c r="G19" s="2"/>
      <c r="H19" s="2"/>
      <c r="I19" s="13"/>
      <c r="J19" s="13"/>
      <c r="K19" s="13"/>
      <c r="L19" s="13"/>
      <c r="M19" s="13"/>
    </row>
    <row r="20" spans="1:13" s="3" customFormat="1" ht="30.75" customHeight="1">
      <c r="A20" s="2"/>
      <c r="B20" s="2"/>
      <c r="C20" s="2"/>
      <c r="D20" s="2"/>
      <c r="E20" s="125"/>
      <c r="F20" s="125"/>
      <c r="G20" s="125"/>
      <c r="H20" s="125"/>
      <c r="I20" s="13"/>
      <c r="J20" s="13"/>
      <c r="K20" s="13"/>
      <c r="L20" s="13"/>
      <c r="M20" s="13"/>
    </row>
    <row r="21" spans="1:13" s="3" customFormat="1" ht="30.75" customHeight="1">
      <c r="A21" s="127">
        <f>Notes!A8</f>
        <v>5</v>
      </c>
      <c r="B21" s="86" t="s">
        <v>130</v>
      </c>
      <c r="C21" s="138">
        <v>260</v>
      </c>
      <c r="D21" s="1"/>
      <c r="E21" s="1"/>
      <c r="F21" s="1"/>
      <c r="G21" s="1"/>
      <c r="H21" s="2"/>
      <c r="I21" s="13"/>
      <c r="J21" s="13"/>
      <c r="K21" s="13"/>
      <c r="L21" s="13"/>
      <c r="M21" s="13"/>
    </row>
    <row r="22" spans="1:13" s="3" customFormat="1" ht="30.75" customHeight="1">
      <c r="A22" s="135">
        <f>Notes!A9</f>
        <v>6</v>
      </c>
      <c r="B22" s="139" t="s">
        <v>131</v>
      </c>
      <c r="C22" s="138">
        <v>8</v>
      </c>
      <c r="D22" s="1"/>
      <c r="E22" s="1"/>
      <c r="F22" s="1"/>
      <c r="G22" s="1"/>
      <c r="H22" s="2"/>
      <c r="I22" s="13"/>
      <c r="J22" s="13"/>
      <c r="K22" s="13"/>
      <c r="L22" s="13"/>
      <c r="M22" s="13"/>
    </row>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sheetData>
  <sheetProtection/>
  <mergeCells count="2">
    <mergeCell ref="A1:D1"/>
    <mergeCell ref="A2:A3"/>
  </mergeCells>
  <printOptions horizontalCentered="1"/>
  <pageMargins left="0.5118110236220472" right="0.5118110236220472" top="0.984251968503937" bottom="0.984251968503937" header="0.5118110236220472" footer="0.5118110236220472"/>
  <pageSetup firstPageNumber="1" useFirstPageNumber="1" fitToHeight="0" horizontalDpi="300" verticalDpi="300" orientation="portrait" paperSize="9" scale="59" r:id="rId1"/>
  <headerFooter alignWithMargins="0">
    <oddHeader>&amp;C&amp;"Bitstream Vera Sans,Regular"&amp;10&amp;A</oddHeader>
    <oddFooter>&amp;C&amp;"Bitstream Vera Sans,Regular"&amp;10Page &amp;P</oddFooter>
  </headerFooter>
</worksheet>
</file>

<file path=xl/worksheets/sheet5.xml><?xml version="1.0" encoding="utf-8"?>
<worksheet xmlns="http://schemas.openxmlformats.org/spreadsheetml/2006/main" xmlns:r="http://schemas.openxmlformats.org/officeDocument/2006/relationships">
  <dimension ref="A1:B44"/>
  <sheetViews>
    <sheetView tabSelected="1" zoomScalePageLayoutView="0" workbookViewId="0" topLeftCell="A1">
      <selection activeCell="E8" sqref="E8"/>
    </sheetView>
  </sheetViews>
  <sheetFormatPr defaultColWidth="13.140625" defaultRowHeight="12"/>
  <cols>
    <col min="1" max="1" width="6.140625" style="90" customWidth="1"/>
    <col min="2" max="2" width="110.8515625" style="90" customWidth="1"/>
    <col min="3" max="16384" width="13.140625" style="90" customWidth="1"/>
  </cols>
  <sheetData>
    <row r="1" spans="1:2" ht="63.75" customHeight="1">
      <c r="A1" s="240" t="s">
        <v>191</v>
      </c>
      <c r="B1" s="240"/>
    </row>
    <row r="2" spans="1:2" s="140" customFormat="1" ht="36.75" customHeight="1">
      <c r="A2" s="241" t="s">
        <v>150</v>
      </c>
      <c r="B2" s="241"/>
    </row>
    <row r="3" spans="1:2" ht="25.5" customHeight="1">
      <c r="A3" s="145" t="s">
        <v>132</v>
      </c>
      <c r="B3" s="146"/>
    </row>
    <row r="4" spans="1:2" ht="36" customHeight="1">
      <c r="A4" s="145">
        <f aca="true" t="shared" si="0" ref="A4:A43">ROW()-3</f>
        <v>1</v>
      </c>
      <c r="B4" s="147" t="s">
        <v>133</v>
      </c>
    </row>
    <row r="5" spans="1:2" ht="45" customHeight="1">
      <c r="A5" s="145">
        <f t="shared" si="0"/>
        <v>2</v>
      </c>
      <c r="B5" s="147" t="s">
        <v>180</v>
      </c>
    </row>
    <row r="6" spans="1:2" ht="32.25" customHeight="1">
      <c r="A6" s="145">
        <f t="shared" si="0"/>
        <v>3</v>
      </c>
      <c r="B6" s="147" t="s">
        <v>134</v>
      </c>
    </row>
    <row r="7" spans="1:2" ht="30.75" customHeight="1">
      <c r="A7" s="145">
        <f t="shared" si="0"/>
        <v>4</v>
      </c>
      <c r="B7" s="147" t="s">
        <v>135</v>
      </c>
    </row>
    <row r="8" spans="1:2" ht="29.25" customHeight="1">
      <c r="A8" s="145">
        <f t="shared" si="0"/>
        <v>5</v>
      </c>
      <c r="B8" s="147" t="s">
        <v>136</v>
      </c>
    </row>
    <row r="9" spans="1:2" ht="20.25" customHeight="1">
      <c r="A9" s="145">
        <f t="shared" si="0"/>
        <v>6</v>
      </c>
      <c r="B9" s="147" t="s">
        <v>137</v>
      </c>
    </row>
    <row r="10" spans="1:2" ht="20.25" customHeight="1">
      <c r="A10" s="145">
        <f t="shared" si="0"/>
        <v>7</v>
      </c>
      <c r="B10" s="147" t="s">
        <v>138</v>
      </c>
    </row>
    <row r="11" spans="1:2" ht="30" customHeight="1">
      <c r="A11" s="145">
        <f t="shared" si="0"/>
        <v>8</v>
      </c>
      <c r="B11" s="147" t="s">
        <v>139</v>
      </c>
    </row>
    <row r="12" spans="1:2" ht="18.75" customHeight="1">
      <c r="A12" s="145">
        <f t="shared" si="0"/>
        <v>9</v>
      </c>
      <c r="B12" s="147" t="s">
        <v>140</v>
      </c>
    </row>
    <row r="13" spans="1:2" ht="18.75" customHeight="1">
      <c r="A13" s="145">
        <f t="shared" si="0"/>
        <v>10</v>
      </c>
      <c r="B13" s="147" t="s">
        <v>141</v>
      </c>
    </row>
    <row r="14" spans="1:2" ht="36">
      <c r="A14" s="145">
        <f t="shared" si="0"/>
        <v>11</v>
      </c>
      <c r="B14" s="147" t="s">
        <v>142</v>
      </c>
    </row>
    <row r="15" spans="1:2" ht="32.25" customHeight="1">
      <c r="A15" s="145">
        <f t="shared" si="0"/>
        <v>12</v>
      </c>
      <c r="B15" s="147" t="s">
        <v>143</v>
      </c>
    </row>
    <row r="16" spans="1:2" ht="27.75" customHeight="1">
      <c r="A16" s="145">
        <f t="shared" si="0"/>
        <v>13</v>
      </c>
      <c r="B16" s="147" t="s">
        <v>144</v>
      </c>
    </row>
    <row r="17" spans="1:2" ht="30.75" customHeight="1">
      <c r="A17" s="145">
        <f t="shared" si="0"/>
        <v>14</v>
      </c>
      <c r="B17" s="147" t="s">
        <v>145</v>
      </c>
    </row>
    <row r="18" spans="1:2" ht="40.5" customHeight="1">
      <c r="A18" s="145">
        <f t="shared" si="0"/>
        <v>15</v>
      </c>
      <c r="B18" s="147" t="s">
        <v>146</v>
      </c>
    </row>
    <row r="19" spans="1:2" ht="20.25" customHeight="1">
      <c r="A19" s="145">
        <f t="shared" si="0"/>
        <v>16</v>
      </c>
      <c r="B19" s="147" t="s">
        <v>147</v>
      </c>
    </row>
    <row r="20" spans="1:2" ht="31.5" customHeight="1">
      <c r="A20" s="145">
        <f t="shared" si="0"/>
        <v>17</v>
      </c>
      <c r="B20" s="147" t="s">
        <v>148</v>
      </c>
    </row>
    <row r="21" spans="1:2" ht="30.75" customHeight="1">
      <c r="A21" s="145">
        <f t="shared" si="0"/>
        <v>18</v>
      </c>
      <c r="B21" s="147" t="s">
        <v>149</v>
      </c>
    </row>
    <row r="22" spans="1:2" ht="42" customHeight="1">
      <c r="A22" s="145">
        <f t="shared" si="0"/>
        <v>19</v>
      </c>
      <c r="B22" s="147" t="s">
        <v>151</v>
      </c>
    </row>
    <row r="23" spans="1:2" ht="39.75" customHeight="1">
      <c r="A23" s="145">
        <f t="shared" si="0"/>
        <v>20</v>
      </c>
      <c r="B23" s="147" t="s">
        <v>152</v>
      </c>
    </row>
    <row r="24" spans="1:2" ht="44.25" customHeight="1">
      <c r="A24" s="145">
        <f t="shared" si="0"/>
        <v>21</v>
      </c>
      <c r="B24" s="147" t="s">
        <v>153</v>
      </c>
    </row>
    <row r="25" spans="1:2" ht="30" customHeight="1">
      <c r="A25" s="145">
        <f t="shared" si="0"/>
        <v>22</v>
      </c>
      <c r="B25" s="147" t="s">
        <v>154</v>
      </c>
    </row>
    <row r="26" spans="1:2" ht="21" customHeight="1">
      <c r="A26" s="145">
        <f t="shared" si="0"/>
        <v>23</v>
      </c>
      <c r="B26" s="147" t="s">
        <v>155</v>
      </c>
    </row>
    <row r="27" spans="1:2" ht="27.75" customHeight="1">
      <c r="A27" s="145">
        <f t="shared" si="0"/>
        <v>24</v>
      </c>
      <c r="B27" s="147" t="s">
        <v>161</v>
      </c>
    </row>
    <row r="28" spans="1:2" ht="81.75" customHeight="1">
      <c r="A28" s="145">
        <f t="shared" si="0"/>
        <v>25</v>
      </c>
      <c r="B28" s="147" t="s">
        <v>184</v>
      </c>
    </row>
    <row r="29" spans="1:2" ht="30.75" customHeight="1">
      <c r="A29" s="145">
        <f t="shared" si="0"/>
        <v>26</v>
      </c>
      <c r="B29" s="147" t="s">
        <v>186</v>
      </c>
    </row>
    <row r="30" spans="1:2" ht="54" customHeight="1">
      <c r="A30" s="145">
        <f t="shared" si="0"/>
        <v>27</v>
      </c>
      <c r="B30" s="147" t="s">
        <v>159</v>
      </c>
    </row>
    <row r="31" spans="1:2" ht="22.5" customHeight="1">
      <c r="A31" s="145">
        <f t="shared" si="0"/>
        <v>28</v>
      </c>
      <c r="B31" s="147" t="s">
        <v>157</v>
      </c>
    </row>
    <row r="32" spans="1:2" ht="22.5" customHeight="1">
      <c r="A32" s="145">
        <f t="shared" si="0"/>
        <v>29</v>
      </c>
      <c r="B32" s="147" t="s">
        <v>158</v>
      </c>
    </row>
    <row r="33" spans="1:2" ht="42.75" customHeight="1">
      <c r="A33" s="145">
        <f t="shared" si="0"/>
        <v>30</v>
      </c>
      <c r="B33" s="147" t="s">
        <v>163</v>
      </c>
    </row>
    <row r="34" spans="1:2" ht="30" customHeight="1">
      <c r="A34" s="145">
        <f t="shared" si="0"/>
        <v>31</v>
      </c>
      <c r="B34" s="147" t="s">
        <v>187</v>
      </c>
    </row>
    <row r="35" spans="1:2" ht="29.25" customHeight="1">
      <c r="A35" s="145">
        <f t="shared" si="0"/>
        <v>32</v>
      </c>
      <c r="B35" s="147" t="s">
        <v>188</v>
      </c>
    </row>
    <row r="36" spans="1:2" ht="27.75" customHeight="1">
      <c r="A36" s="145">
        <f t="shared" si="0"/>
        <v>33</v>
      </c>
      <c r="B36" s="147" t="s">
        <v>189</v>
      </c>
    </row>
    <row r="37" spans="1:2" ht="19.5" customHeight="1">
      <c r="A37" s="145">
        <f t="shared" si="0"/>
        <v>34</v>
      </c>
      <c r="B37" s="147" t="s">
        <v>165</v>
      </c>
    </row>
    <row r="38" spans="1:2" ht="19.5" customHeight="1">
      <c r="A38" s="145">
        <f t="shared" si="0"/>
        <v>35</v>
      </c>
      <c r="B38" s="147" t="s">
        <v>166</v>
      </c>
    </row>
    <row r="39" spans="1:2" ht="28.5" customHeight="1">
      <c r="A39" s="145">
        <f t="shared" si="0"/>
        <v>36</v>
      </c>
      <c r="B39" s="147" t="s">
        <v>167</v>
      </c>
    </row>
    <row r="40" spans="1:2" ht="29.25" customHeight="1">
      <c r="A40" s="145">
        <f t="shared" si="0"/>
        <v>37</v>
      </c>
      <c r="B40" s="147" t="s">
        <v>168</v>
      </c>
    </row>
    <row r="41" spans="1:2" ht="54" customHeight="1">
      <c r="A41" s="145">
        <f t="shared" si="0"/>
        <v>38</v>
      </c>
      <c r="B41" s="147" t="s">
        <v>169</v>
      </c>
    </row>
    <row r="42" spans="1:2" ht="42" customHeight="1">
      <c r="A42" s="145">
        <f t="shared" si="0"/>
        <v>39</v>
      </c>
      <c r="B42" s="147" t="s">
        <v>190</v>
      </c>
    </row>
    <row r="43" spans="1:2" ht="27.75" customHeight="1">
      <c r="A43" s="145">
        <f t="shared" si="0"/>
        <v>40</v>
      </c>
      <c r="B43" s="147" t="s">
        <v>174</v>
      </c>
    </row>
    <row r="44" spans="1:2" ht="12">
      <c r="A44" s="141"/>
      <c r="B44" s="142"/>
    </row>
  </sheetData>
  <sheetProtection/>
  <mergeCells count="2">
    <mergeCell ref="A1:B1"/>
    <mergeCell ref="A2:B2"/>
  </mergeCells>
  <printOptions horizontalCentered="1"/>
  <pageMargins left="0.5118110236220472" right="0.5118110236220472" top="0.984251968503937" bottom="0.984251968503937" header="0.5118110236220472" footer="0.5118110236220472"/>
  <pageSetup fitToHeight="0" horizontalDpi="300" verticalDpi="300" orientation="portrait" paperSize="9" scale="72" r:id="rId1"/>
  <headerFooter alignWithMargins="0">
    <oddHeader>&amp;L&amp;18Cost Comparison Model&amp;R&amp;18Notes</oddHeader>
    <oddFooter>&amp;C&amp;"Bitstream Vera Serif,Regular"&amp;12Page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www.bestitdocuments.com</Manager>
  <Company>www.bestitdocuments.com</Company>
  <TotalTime>5109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
  <cp:lastModifiedBy>CP1</cp:lastModifiedBy>
  <cp:lastPrinted>2003-10-10T13:36:52Z</cp:lastPrinted>
  <dcterms:created xsi:type="dcterms:W3CDTF">2003-06-08T15:46:31Z</dcterms:created>
  <dcterms:modified xsi:type="dcterms:W3CDTF">2013-03-23T20:26:10Z</dcterms:modified>
  <cp:category/>
  <cp:version/>
  <cp:contentType/>
  <cp:contentStatus/>
  <cp:revision>133</cp:revision>
</cp:coreProperties>
</file>